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asb\Eva\e-FIT\IFB AMDs\AMD 2\"/>
    </mc:Choice>
  </mc:AlternateContent>
  <bookViews>
    <workbookView xWindow="0" yWindow="1850" windowWidth="19200" windowHeight="5060" tabRatio="914" activeTab="7"/>
  </bookViews>
  <sheets>
    <sheet name="Sch.A Offer Summary" sheetId="60" r:id="rId1"/>
    <sheet name="CLIN 1-DELL GPL" sheetId="67" r:id="rId2"/>
    <sheet name="CLIN 2-HP GPL" sheetId="68" r:id="rId3"/>
    <sheet name="CLIN 3-Engineering Services" sheetId="56" r:id="rId4"/>
    <sheet name="CLIN 4-PHS&amp;T" sheetId="71" r:id="rId5"/>
    <sheet name="CLIN 6-DELL Tempesting" sheetId="58" r:id="rId6"/>
    <sheet name="CLIN 7-HP Tempesting" sheetId="69" r:id="rId7"/>
    <sheet name="CLIN 8-KVM Switches Tempesting" sheetId="70" r:id="rId8"/>
    <sheet name="CLIN 9-KVM Switches" sheetId="73" r:id="rId9"/>
    <sheet name="currencies list" sheetId="59" state="hidden" r:id="rId10"/>
  </sheets>
  <definedNames>
    <definedName name="_xlcn.WorksheetConnection_Revisedbiddingsheets.xlsxCLIN1_Labour" hidden="1">CLIN1_Labour</definedName>
    <definedName name="_xlcn.WorksheetConnection_Revisedbiddingsheets.xlsxCLIN2_Labour" hidden="1">CLIN2_Labour</definedName>
    <definedName name="_xlcn.WorksheetConnection_Revisedbiddingsheets.xlsxCLIN2_Material" hidden="1">CLIN2_Material</definedName>
  </definedNames>
  <calcPr calcId="162913"/>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CLIN2_Material-632f30ca-dacc-4b1e-988b-06f9c1fe7f1c" name="CLIN2_Material" connection="WorksheetConnection_Revised bidding sheets.xlsx!CLIN2_Material"/>
          <x15:modelTable id="CLIN2_Labour-267814c9-317e-4def-8aae-e0fa56cfae07" name="CLIN2_Labour" connection="WorksheetConnection_Revised bidding sheets.xlsx!CLIN2_Labour"/>
          <x15:modelTable id="CLIN1_Labour-528beabe-87aa-4578-8e04-bea7ed9f598b" name="CLIN1_Labour" connection="WorksheetConnection_Revised bidding sheets.xlsx!CLIN1_Labour"/>
        </x15:modelTables>
        <x15:modelRelationships>
          <x15:modelRelationship fromTable="CLIN1_Labour" fromColumn="Labour Category" toTable="CLIN2_Labour" toColumn="Labour Category"/>
        </x15:modelRelationships>
      </x15:dataModel>
    </ext>
  </extLst>
</workbook>
</file>

<file path=xl/calcChain.xml><?xml version="1.0" encoding="utf-8"?>
<calcChain xmlns="http://schemas.openxmlformats.org/spreadsheetml/2006/main">
  <c r="F53" i="58" l="1"/>
  <c r="F52" i="58"/>
  <c r="F51" i="58"/>
  <c r="F50" i="58"/>
  <c r="F49" i="58"/>
  <c r="F48" i="58"/>
  <c r="F47" i="58"/>
  <c r="F46" i="58"/>
  <c r="F45" i="58"/>
  <c r="F44" i="58"/>
  <c r="F43" i="58"/>
  <c r="F42" i="58"/>
  <c r="F41" i="58"/>
  <c r="F40" i="58"/>
  <c r="F39" i="58"/>
  <c r="F38" i="58"/>
  <c r="F37" i="58"/>
  <c r="F36" i="58"/>
  <c r="F35" i="58"/>
  <c r="F33" i="58"/>
  <c r="F32" i="58"/>
  <c r="F31" i="58"/>
  <c r="F29" i="58"/>
  <c r="F27" i="58"/>
  <c r="F26" i="58"/>
  <c r="F24" i="58"/>
  <c r="F23" i="58"/>
  <c r="F21" i="58"/>
  <c r="F20" i="58"/>
  <c r="F18" i="58"/>
  <c r="F16" i="58"/>
  <c r="F14" i="58"/>
  <c r="F13" i="58"/>
  <c r="F11" i="58"/>
  <c r="F10" i="58"/>
  <c r="F8" i="58"/>
  <c r="F7" i="58"/>
  <c r="F5" i="58"/>
  <c r="F4" i="58"/>
  <c r="F11" i="70"/>
  <c r="F10" i="70"/>
  <c r="F9" i="70"/>
  <c r="F5" i="70"/>
  <c r="F4" i="70"/>
  <c r="F3" i="70"/>
  <c r="F54" i="69" l="1"/>
  <c r="F53" i="69"/>
  <c r="F52" i="69"/>
  <c r="F51" i="69"/>
  <c r="F50" i="69"/>
  <c r="F49" i="69"/>
  <c r="F48" i="69"/>
  <c r="F47" i="69"/>
  <c r="F46" i="69"/>
  <c r="F45" i="69"/>
  <c r="F44" i="69"/>
  <c r="F43" i="69"/>
  <c r="F42" i="69"/>
  <c r="F41" i="69"/>
  <c r="F40" i="69"/>
  <c r="F38" i="69"/>
  <c r="F37" i="69"/>
  <c r="F36" i="69"/>
  <c r="F34" i="69"/>
  <c r="F33" i="69"/>
  <c r="F32" i="69"/>
  <c r="F30" i="69"/>
  <c r="F28" i="69"/>
  <c r="F27" i="69"/>
  <c r="F25" i="69"/>
  <c r="F24" i="69"/>
  <c r="F22" i="69"/>
  <c r="F21" i="69"/>
  <c r="F20" i="69"/>
  <c r="F18" i="69"/>
  <c r="F16" i="69"/>
  <c r="F14" i="69"/>
  <c r="F13" i="69"/>
  <c r="F11" i="69"/>
  <c r="F10" i="69"/>
  <c r="F8" i="69"/>
  <c r="F7" i="69"/>
  <c r="F5" i="69"/>
  <c r="F4" i="69"/>
  <c r="F39" i="69"/>
  <c r="H11" i="70" l="1"/>
  <c r="H10" i="70"/>
  <c r="H9" i="70"/>
  <c r="H5" i="70"/>
  <c r="H4" i="70"/>
  <c r="H3" i="70"/>
  <c r="H37" i="58"/>
  <c r="H38" i="58"/>
  <c r="H39" i="58"/>
  <c r="H40" i="58"/>
  <c r="H41" i="58"/>
  <c r="H42" i="58"/>
  <c r="H43" i="58"/>
  <c r="H44" i="58"/>
  <c r="H45" i="58"/>
  <c r="H46" i="58"/>
  <c r="H47" i="58"/>
  <c r="H48" i="58"/>
  <c r="H49" i="58"/>
  <c r="H50" i="58"/>
  <c r="H51" i="58"/>
  <c r="H52" i="58"/>
  <c r="H53" i="58"/>
  <c r="H36" i="58"/>
  <c r="H35" i="58"/>
  <c r="H33" i="58"/>
  <c r="H32" i="58"/>
  <c r="H31" i="58"/>
  <c r="H29" i="58"/>
  <c r="H27" i="58"/>
  <c r="H26" i="58"/>
  <c r="H24" i="58"/>
  <c r="H23" i="58"/>
  <c r="H21" i="58"/>
  <c r="H20" i="58"/>
  <c r="H18" i="58"/>
  <c r="H16" i="58"/>
  <c r="H14" i="58"/>
  <c r="H13" i="58"/>
  <c r="H11" i="58"/>
  <c r="H10" i="58"/>
  <c r="H8" i="58"/>
  <c r="H7" i="58"/>
  <c r="H5" i="58"/>
  <c r="H4" i="58"/>
  <c r="H54" i="69"/>
  <c r="H53" i="69"/>
  <c r="H52" i="69"/>
  <c r="H51" i="69"/>
  <c r="H50" i="69"/>
  <c r="H49" i="69"/>
  <c r="H48" i="69"/>
  <c r="H47" i="69"/>
  <c r="H46" i="69"/>
  <c r="H45" i="69"/>
  <c r="H44" i="69"/>
  <c r="H43" i="69"/>
  <c r="H42" i="69"/>
  <c r="H41" i="69"/>
  <c r="H40" i="69"/>
  <c r="H39" i="69"/>
  <c r="H38" i="69"/>
  <c r="H37" i="69"/>
  <c r="H36" i="69"/>
  <c r="H34" i="69"/>
  <c r="H33" i="69"/>
  <c r="H32" i="69"/>
  <c r="H30" i="69"/>
  <c r="H28" i="69"/>
  <c r="H27" i="69"/>
  <c r="H25" i="69"/>
  <c r="H24" i="69"/>
  <c r="H22" i="69"/>
  <c r="H21" i="69"/>
  <c r="H20" i="69"/>
  <c r="H18" i="69"/>
  <c r="H16" i="69"/>
  <c r="H14" i="69"/>
  <c r="H13" i="69"/>
  <c r="H11" i="69"/>
  <c r="H10" i="69"/>
  <c r="H8" i="69"/>
  <c r="H7" i="69"/>
  <c r="H5" i="69"/>
  <c r="H4" i="69"/>
  <c r="H54" i="58" l="1"/>
  <c r="F5" i="68"/>
  <c r="F6" i="68"/>
  <c r="F7" i="68"/>
  <c r="F8" i="68"/>
  <c r="F9" i="68"/>
  <c r="F10" i="68"/>
  <c r="F11" i="68"/>
  <c r="F14" i="68"/>
  <c r="F15" i="68"/>
  <c r="F16" i="68"/>
  <c r="F17" i="68"/>
  <c r="F18" i="68"/>
  <c r="F19" i="68"/>
  <c r="H14" i="70" l="1"/>
  <c r="H55" i="69"/>
  <c r="F3" i="73"/>
  <c r="F4" i="73" s="1"/>
  <c r="D15" i="60" s="1"/>
  <c r="D12" i="60" l="1"/>
  <c r="D13" i="60"/>
  <c r="D14" i="60"/>
  <c r="F29" i="56"/>
  <c r="F30" i="56"/>
  <c r="D9" i="60" s="1"/>
  <c r="F11" i="67"/>
  <c r="F12" i="67"/>
  <c r="F13" i="67"/>
  <c r="F14" i="67"/>
  <c r="F15" i="67"/>
  <c r="F16" i="67"/>
  <c r="F10" i="67"/>
  <c r="F6" i="67"/>
  <c r="G29" i="56"/>
  <c r="H29" i="56"/>
  <c r="I29" i="56"/>
  <c r="J29" i="56"/>
  <c r="F12" i="68" l="1"/>
  <c r="F4" i="68"/>
  <c r="F3" i="68"/>
  <c r="F20" i="68" s="1"/>
  <c r="F8" i="67"/>
  <c r="F7" i="67"/>
  <c r="F5" i="67"/>
  <c r="F4" i="67"/>
  <c r="F3" i="67"/>
  <c r="F17" i="67" l="1"/>
  <c r="D8" i="60" l="1"/>
  <c r="D4" i="71"/>
  <c r="G4" i="71" s="1"/>
  <c r="D3" i="71"/>
  <c r="G3" i="71" s="1"/>
  <c r="D6" i="71"/>
  <c r="G6" i="71" s="1"/>
  <c r="D5" i="71"/>
  <c r="G5" i="71" s="1"/>
  <c r="D7" i="60"/>
  <c r="G7" i="71" l="1"/>
  <c r="D10" i="60" s="1"/>
  <c r="D17" i="60" l="1"/>
  <c r="D5" i="60" s="1"/>
</calcChain>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Revised bidding sheets.xlsx!CLIN1_Labour" type="102" refreshedVersion="5" minRefreshableVersion="5">
    <extLst>
      <ext xmlns:x15="http://schemas.microsoft.com/office/spreadsheetml/2010/11/main" uri="{DE250136-89BD-433C-8126-D09CA5730AF9}">
        <x15:connection id="CLIN1_Labour-528beabe-87aa-4578-8e04-bea7ed9f598b">
          <x15:rangePr sourceName="_xlcn.WorksheetConnection_Revisedbiddingsheets.xlsxCLIN1_Labour"/>
        </x15:connection>
      </ext>
    </extLst>
  </connection>
  <connection id="3" name="WorksheetConnection_Revised bidding sheets.xlsx!CLIN2_Labour" type="102" refreshedVersion="5" minRefreshableVersion="5">
    <extLst>
      <ext xmlns:x15="http://schemas.microsoft.com/office/spreadsheetml/2010/11/main" uri="{DE250136-89BD-433C-8126-D09CA5730AF9}">
        <x15:connection id="CLIN2_Labour-267814c9-317e-4def-8aae-e0fa56cfae07">
          <x15:rangePr sourceName="_xlcn.WorksheetConnection_Revisedbiddingsheets.xlsxCLIN2_Labour"/>
        </x15:connection>
      </ext>
    </extLst>
  </connection>
  <connection id="4" name="WorksheetConnection_Revised bidding sheets.xlsx!CLIN2_Material" type="102" refreshedVersion="5" minRefreshableVersion="5">
    <extLst>
      <ext xmlns:x15="http://schemas.microsoft.com/office/spreadsheetml/2010/11/main" uri="{DE250136-89BD-433C-8126-D09CA5730AF9}">
        <x15:connection id="CLIN2_Material-632f30ca-dacc-4b1e-988b-06f9c1fe7f1c" autoDelete="1">
          <x15:rangePr sourceName="_xlcn.WorksheetConnection_Revisedbiddingsheets.xlsxCLIN2_Material"/>
        </x15:connection>
      </ext>
    </extLst>
  </connection>
</connections>
</file>

<file path=xl/sharedStrings.xml><?xml version="1.0" encoding="utf-8"?>
<sst xmlns="http://schemas.openxmlformats.org/spreadsheetml/2006/main" count="548" uniqueCount="397">
  <si>
    <t>CO-115760-e-FIT Schedule A - Standard End-User Equipment</t>
  </si>
  <si>
    <t xml:space="preserve">CLIN Number </t>
  </si>
  <si>
    <t>CLIN DESCRIPTION</t>
  </si>
  <si>
    <t>Firm Fixed Price</t>
  </si>
  <si>
    <t xml:space="preserve">Declare Currency =&gt; </t>
  </si>
  <si>
    <t>Grand Total Firm Fixed Price - Base Contract</t>
  </si>
  <si>
    <t>CLIN 1</t>
  </si>
  <si>
    <t>CLIN 3</t>
  </si>
  <si>
    <t>Total Firm Fixed Price Base Contract</t>
  </si>
  <si>
    <t>Description</t>
  </si>
  <si>
    <t>Notional amounts ordered at Global Price List (GPL) Prices in EUR
(for evaluation purposes only)</t>
  </si>
  <si>
    <t>Discount % from GPL</t>
  </si>
  <si>
    <t>Bidder's comments (optional)</t>
  </si>
  <si>
    <t>1.1</t>
  </si>
  <si>
    <t>1.2</t>
  </si>
  <si>
    <t>1.3</t>
  </si>
  <si>
    <t>1.4</t>
  </si>
  <si>
    <t>1.5</t>
  </si>
  <si>
    <t>1.6</t>
  </si>
  <si>
    <t>1.7</t>
  </si>
  <si>
    <t>1.8</t>
  </si>
  <si>
    <t>1.9</t>
  </si>
  <si>
    <t>1.10</t>
  </si>
  <si>
    <t>1.11</t>
  </si>
  <si>
    <t>1.12</t>
  </si>
  <si>
    <t>1.13</t>
  </si>
  <si>
    <t>2.1</t>
  </si>
  <si>
    <t>Currency (select from the drop-down list)</t>
  </si>
  <si>
    <t>Senior Engineer</t>
  </si>
  <si>
    <t>Intermediate Engineer</t>
  </si>
  <si>
    <t>Junior Engineer</t>
  </si>
  <si>
    <t>Senior System Engineer</t>
  </si>
  <si>
    <t>Intermediate System Engineer</t>
  </si>
  <si>
    <t>Junior System Engineer</t>
  </si>
  <si>
    <t>Senior Communication Engineer</t>
  </si>
  <si>
    <t>Intermediate Communication Engineer</t>
  </si>
  <si>
    <t>Junior Communication Engineer</t>
  </si>
  <si>
    <t>Senior Network Engineer</t>
  </si>
  <si>
    <t>Intermediate Network Engineer</t>
  </si>
  <si>
    <t>Junior Network Engineer</t>
  </si>
  <si>
    <t>System Integration Analyst</t>
  </si>
  <si>
    <t>Senior Software Programmer</t>
  </si>
  <si>
    <t>Intermediate Software Programmer</t>
  </si>
  <si>
    <t>Junior Software Programmer</t>
  </si>
  <si>
    <t>System Support Engineer</t>
  </si>
  <si>
    <t>Senior Test Engineer</t>
  </si>
  <si>
    <t>Intermediate Test Engineer</t>
  </si>
  <si>
    <t>Junior Test Engineer</t>
  </si>
  <si>
    <t>Information Systems Security Engineer</t>
  </si>
  <si>
    <t>Information Systems Security Specialist</t>
  </si>
  <si>
    <t>Field Engineer</t>
  </si>
  <si>
    <t>Senior Technician</t>
  </si>
  <si>
    <t>Intermediate Technician</t>
  </si>
  <si>
    <t>Junior Technician</t>
  </si>
  <si>
    <t>2.2</t>
  </si>
  <si>
    <t>Notional value of Task Orders in EUR (for evaluation purposes only)</t>
  </si>
  <si>
    <t>Shipment lead times (in weeks) to be added to the Producer LT</t>
  </si>
  <si>
    <t>PHS&amp;T price as fixed percentage % of TO value</t>
  </si>
  <si>
    <t>Evaluated PHS&amp;T price in EUR</t>
  </si>
  <si>
    <t>North America</t>
  </si>
  <si>
    <t>United Kingdom</t>
  </si>
  <si>
    <r>
      <t>T</t>
    </r>
    <r>
      <rPr>
        <sz val="12"/>
        <rFont val="Calibri"/>
        <family val="2"/>
      </rPr>
      <t>ϋ</t>
    </r>
    <r>
      <rPr>
        <sz val="12"/>
        <rFont val="Calibri"/>
        <family val="2"/>
        <scheme val="minor"/>
      </rPr>
      <t>rkiye</t>
    </r>
  </si>
  <si>
    <t>Europe</t>
  </si>
  <si>
    <t>2.3</t>
  </si>
  <si>
    <t>INSTRUCTIONS TO BIDDERS</t>
  </si>
  <si>
    <t>*</t>
  </si>
  <si>
    <t>The PHS&amp;T price shall be calculated based on the percentage provided by the Bidder and the price of the task orders, and can vary by region. The TO deliveries are assumed to include 5% warranty.</t>
  </si>
  <si>
    <t xml:space="preserve">CLIN ITEM - For ordering </t>
  </si>
  <si>
    <t>Initial TEMPEST certification process duration - weeks</t>
  </si>
  <si>
    <t>Leadtime for Serial Production - weeks</t>
  </si>
  <si>
    <t>Max Volume Serial Production per week (quantity)</t>
  </si>
  <si>
    <t>3.1</t>
  </si>
  <si>
    <t>Tower Workstation - Level C</t>
  </si>
  <si>
    <t>3.2</t>
  </si>
  <si>
    <t>Tower Workstation - Level B</t>
  </si>
  <si>
    <t>3.3</t>
  </si>
  <si>
    <t>Tower Workstation - Level A</t>
  </si>
  <si>
    <t>3.4</t>
  </si>
  <si>
    <t>3.7</t>
  </si>
  <si>
    <t>Thin Client - Level C</t>
  </si>
  <si>
    <t>3.8</t>
  </si>
  <si>
    <t>Thin Client - Level B</t>
  </si>
  <si>
    <t>3.9</t>
  </si>
  <si>
    <t>Thin Client - Level A</t>
  </si>
  <si>
    <t>3.10</t>
  </si>
  <si>
    <t>3.11</t>
  </si>
  <si>
    <t>Desktop Monitor - Level C</t>
  </si>
  <si>
    <t>3.12</t>
  </si>
  <si>
    <t>Desktop Monitor - Level B</t>
  </si>
  <si>
    <t>3.13</t>
  </si>
  <si>
    <t>Desktop Monitor - Level A</t>
  </si>
  <si>
    <t>3.14</t>
  </si>
  <si>
    <t>3.20</t>
  </si>
  <si>
    <t>Keyboard - Level C</t>
  </si>
  <si>
    <t>3.21</t>
  </si>
  <si>
    <t>Keyboard - Level B</t>
  </si>
  <si>
    <t>3.22</t>
  </si>
  <si>
    <t>Keyboard - Level A</t>
  </si>
  <si>
    <t>3.23</t>
  </si>
  <si>
    <t>Mouse - Level C</t>
  </si>
  <si>
    <t>3.24</t>
  </si>
  <si>
    <t>Mouse - Level B</t>
  </si>
  <si>
    <t>3.25</t>
  </si>
  <si>
    <t>Mouse - Level A</t>
  </si>
  <si>
    <t>3.26</t>
  </si>
  <si>
    <t>Webcam - Level C</t>
  </si>
  <si>
    <t>Webcam - Level B</t>
  </si>
  <si>
    <t>Webcam - Level A</t>
  </si>
  <si>
    <t>Smartcard Reader - Level C</t>
  </si>
  <si>
    <t>Smartcard Reader - Level B</t>
  </si>
  <si>
    <t>Smartcard Reader - Level A</t>
  </si>
  <si>
    <t>Headset - Level C</t>
  </si>
  <si>
    <t>Headset - Level B</t>
  </si>
  <si>
    <t>Headset - Level A</t>
  </si>
  <si>
    <t>Docking Station - Level C</t>
  </si>
  <si>
    <t>Docking Station - Level B</t>
  </si>
  <si>
    <t>Docking Station - Level A</t>
  </si>
  <si>
    <t xml:space="preserve">Desktop Speaker System - Level C </t>
  </si>
  <si>
    <t>NATO Member States Currencies</t>
  </si>
  <si>
    <t>Euro (EUR)</t>
  </si>
  <si>
    <t>Albanian Lek (ALL)</t>
  </si>
  <si>
    <t>Bulgarian Lev (BGN)</t>
  </si>
  <si>
    <t>Canadian Dollar (CAD)</t>
  </si>
  <si>
    <t>Croatian Kuna (HRK)</t>
  </si>
  <si>
    <t>Czech Koruna (CZK)</t>
  </si>
  <si>
    <t>Danish Krone (DKK)</t>
  </si>
  <si>
    <t>Estonian Kroon (EEK)</t>
  </si>
  <si>
    <t>Hungarian Forint (HUF)</t>
  </si>
  <si>
    <t>Icelandic Króna (ISK)</t>
  </si>
  <si>
    <t>Lithuanian Litas (LTL)</t>
  </si>
  <si>
    <t>North Macedonia Denar (MKD)</t>
  </si>
  <si>
    <t>Norwegian Krone (NOK)</t>
  </si>
  <si>
    <t>Polish Złoty (PLN)</t>
  </si>
  <si>
    <t>Romanian Leu (RON)</t>
  </si>
  <si>
    <t>Slovak Koruna (SKK)</t>
  </si>
  <si>
    <t>Turkish Lira (TRY)</t>
  </si>
  <si>
    <t>UK Pound sterling (GBP)</t>
  </si>
  <si>
    <t>US Dollar (USD)</t>
  </si>
  <si>
    <t>Laptops</t>
  </si>
  <si>
    <t>Desktops &amp; All-in-Ones</t>
  </si>
  <si>
    <t>Gaming</t>
  </si>
  <si>
    <t>Thin Clients</t>
  </si>
  <si>
    <t>Monitors</t>
  </si>
  <si>
    <t>Electronics and Accessories</t>
  </si>
  <si>
    <t>Printers</t>
  </si>
  <si>
    <t>Workstations</t>
  </si>
  <si>
    <t>Accessories</t>
  </si>
  <si>
    <t>Business Desktops</t>
  </si>
  <si>
    <t>Docking Stations</t>
  </si>
  <si>
    <t>PC Accessories</t>
  </si>
  <si>
    <t>Gaming Accessories</t>
  </si>
  <si>
    <t>Audio</t>
  </si>
  <si>
    <t>Keyboards and Mice</t>
  </si>
  <si>
    <t>Webcams and Video Conferencing</t>
  </si>
  <si>
    <t>Thin Client - Level C (Win10IoT) 1000Base-SX</t>
  </si>
  <si>
    <t>Tower Workstation - Level C 1000Base-SX</t>
  </si>
  <si>
    <t>Dell Precision 3650 Form Factor: Tower</t>
  </si>
  <si>
    <t>Tower Workstation - Level B 1000Base-SX</t>
  </si>
  <si>
    <t>Tower Workstation - Level B 100Base-FX</t>
  </si>
  <si>
    <t>Tower Workstation - Level A 1000Base-SX</t>
  </si>
  <si>
    <t>Tower Workstation - Level A 100Base-FX</t>
  </si>
  <si>
    <t>Tower Workstation - Level C 100 Base-FX</t>
  </si>
  <si>
    <t>Desktop PC  - 1000 Base SX AND 100 Base FX - Level C</t>
  </si>
  <si>
    <t>Dell Optiplex 5090 SFF Dual NICS Level C (optical fiber connector type LC, no removable drive cage)</t>
  </si>
  <si>
    <t>Desktop PC  - 1000 Base SX AND 100 Base FX - Level C -1000 Base NIC</t>
  </si>
  <si>
    <t>Dell Optiplex 5090 SFF Dual NICS Level C (optical fiber connector type LC, no removable drive cage) -1000 Base NIC</t>
  </si>
  <si>
    <t>Desktop PC  - 1000 Base SX AND 100 Base FX - Level B</t>
  </si>
  <si>
    <t>Dell Optiplex 5090 SFF Dual NICS Level B (optical fiber connector type LC, no removable drive cage)</t>
  </si>
  <si>
    <t>Desktop PC  - 1000 Base SX AND 100 Base FX - Level A</t>
  </si>
  <si>
    <t>Dell Optiplex 5090 SFF Dual NICS Level A (optical fiber connector type LC, no removable drive cage)</t>
  </si>
  <si>
    <t>Desktop PC- Level C</t>
  </si>
  <si>
    <t>Desktop PC- Level B</t>
  </si>
  <si>
    <t>Desktop PC- Level A</t>
  </si>
  <si>
    <t xml:space="preserve">Dell Wyse 5070 Win10IoT </t>
  </si>
  <si>
    <t>Thin Client - Level C (Win10IoT) 100Base-FX</t>
  </si>
  <si>
    <t>Thin Client - Level B (Win10IoT) 1000Base-SX</t>
  </si>
  <si>
    <t>Thin Client - Level B (Win10IoT) 100Base-FX</t>
  </si>
  <si>
    <t>Thin Client - Level A (Win10IoT) 1000Base-SX</t>
  </si>
  <si>
    <t>Thin Client - Level A (Win10IoT) 100Base-FX</t>
  </si>
  <si>
    <t>Monitors/Displays</t>
  </si>
  <si>
    <t>Desktop Monitor</t>
  </si>
  <si>
    <t>Tempest Level C Certified</t>
  </si>
  <si>
    <t>Tempest Level B Certified</t>
  </si>
  <si>
    <t>Tempest Level A Certified</t>
  </si>
  <si>
    <t>Touch Screen Desktop Monitor - Tempest Level C Certified</t>
  </si>
  <si>
    <t>Touch Screen Desktop Monitor Dell P2418HT</t>
  </si>
  <si>
    <t>KVM (TEMPEST Level C)</t>
  </si>
  <si>
    <t>Dual Monitor KVM Switch (TEMPEST Level C)</t>
  </si>
  <si>
    <t>KVM 4 Port (TEMPEST Level C)</t>
  </si>
  <si>
    <t>KVM 2 Port (TEMPEST Level C)</t>
  </si>
  <si>
    <t>Belkin Universal Secure KVM Switch, 2 Port, Dual Head F1DN202KVM-UN-3</t>
  </si>
  <si>
    <t>KVM 2 Port Flip (TEMPEST Level C)</t>
  </si>
  <si>
    <t>Belkin Secure 2-port Flip DP-to-DP Dual Head KVM with Digital Audio, PP 3.0
F1DN202FLP-DP-3</t>
  </si>
  <si>
    <t>KVM (TEMPEST Level B)</t>
  </si>
  <si>
    <t>Dual Monitor KVM Switch (TEMPEST Level B)</t>
  </si>
  <si>
    <t>KVM 4 Port (TEMPEST Level B)</t>
  </si>
  <si>
    <t>KVM 2 Port (TEMPEST Level B)</t>
  </si>
  <si>
    <t>KVM 2 Port Flip (TEMPEST Level B)</t>
  </si>
  <si>
    <t>KVM Switches  Level C</t>
  </si>
  <si>
    <t>KVM Switches Level B</t>
  </si>
  <si>
    <t xml:space="preserve"> Tempest Level A Certified</t>
  </si>
  <si>
    <t xml:space="preserve"> Tempest Level B Certified</t>
  </si>
  <si>
    <t>Thin Client - Level C 100 Base Fibre NIC LC +RJ45</t>
  </si>
  <si>
    <t>Tower Workstation - Level C 1000 Base-SX</t>
  </si>
  <si>
    <t>Tower Workstation - Level B 1000 Base-SX</t>
  </si>
  <si>
    <t>Tower Workstation - Level B 100 Base-FX</t>
  </si>
  <si>
    <t>Tower Workstation - Level A 1000 Base-SX</t>
  </si>
  <si>
    <t>Tower Workstation - Level A 100 Base-FX</t>
  </si>
  <si>
    <t>CLIN 2</t>
  </si>
  <si>
    <t>CLIN 4</t>
  </si>
  <si>
    <t>CLIN 5</t>
  </si>
  <si>
    <t>CLIN 6</t>
  </si>
  <si>
    <t>CLIN 1 - DELL Global Price List (GPL) discounted price</t>
  </si>
  <si>
    <t>CLIN 2 - HP Global Price List (GPL) discounted price</t>
  </si>
  <si>
    <t>CLIN 5 - Warranty Extensions</t>
  </si>
  <si>
    <t>CLIN 6 - DELL Tempesting</t>
  </si>
  <si>
    <t>CLIN 7</t>
  </si>
  <si>
    <t>CLIN 8</t>
  </si>
  <si>
    <t>CLIN 3 - Engineering Services</t>
  </si>
  <si>
    <t>CLIN 4 - PHS&amp;T</t>
  </si>
  <si>
    <t>CLIN 7 - HP Tempesting</t>
  </si>
  <si>
    <t>Engineering Services *</t>
  </si>
  <si>
    <t>1.   Bidders are allowed to change only the yellow highlighted cells;
2.   All yellow highlighted cells must be filled in without omissions;
3.   Each Unit Price shall have the following factored in: (a) G&amp;A, (b) Administrative Cost, and (c) Profit.</t>
  </si>
  <si>
    <t>PHS&amp;T - Packaging, Handling, Shipping, and Transportation to NATO/ Customer Sites *</t>
  </si>
  <si>
    <t>4.1</t>
  </si>
  <si>
    <t>4.2</t>
  </si>
  <si>
    <t>4.3</t>
  </si>
  <si>
    <t>4.4</t>
  </si>
  <si>
    <t>Total CLIN 4 - PHS&amp;T</t>
  </si>
  <si>
    <t>Total CLIN 1 - DELL Global Price List (GPL) discounted price</t>
  </si>
  <si>
    <t>Evaluated price in EUR</t>
  </si>
  <si>
    <t>2.4</t>
  </si>
  <si>
    <t>2.5</t>
  </si>
  <si>
    <t>2.6</t>
  </si>
  <si>
    <t>2.7</t>
  </si>
  <si>
    <t>2.8</t>
  </si>
  <si>
    <t>2.9</t>
  </si>
  <si>
    <t>2.10</t>
  </si>
  <si>
    <t>2.11</t>
  </si>
  <si>
    <t>2.12</t>
  </si>
  <si>
    <t>2.13</t>
  </si>
  <si>
    <t>2.14</t>
  </si>
  <si>
    <t>2.15</t>
  </si>
  <si>
    <t>2.16</t>
  </si>
  <si>
    <t>Total CLIN 2 - HP Global Price List (GPL) discounted price</t>
  </si>
  <si>
    <t>CLIN 1.0</t>
  </si>
  <si>
    <t>CLIN 2.0</t>
  </si>
  <si>
    <t>CLIN 3.0</t>
  </si>
  <si>
    <t>3.5</t>
  </si>
  <si>
    <t>3.6</t>
  </si>
  <si>
    <t>3.15</t>
  </si>
  <si>
    <t>3.16</t>
  </si>
  <si>
    <t>3.17</t>
  </si>
  <si>
    <t>3.18</t>
  </si>
  <si>
    <t>3.19</t>
  </si>
  <si>
    <t>Total CLIN 3 - Engineering Services</t>
  </si>
  <si>
    <t>CLIN 4.0</t>
  </si>
  <si>
    <t>CLIN 6.0</t>
  </si>
  <si>
    <t>CLIN 7.0</t>
  </si>
  <si>
    <t>Total CLIN 7 - HP Tempesting</t>
  </si>
  <si>
    <t>Total CLIN 6 - DELL Tempesting</t>
  </si>
  <si>
    <t>CLIN 8.0</t>
  </si>
  <si>
    <t>6.1</t>
  </si>
  <si>
    <t>6.2</t>
  </si>
  <si>
    <t>6.3</t>
  </si>
  <si>
    <t>6.4</t>
  </si>
  <si>
    <t>6.5</t>
  </si>
  <si>
    <t>6.6</t>
  </si>
  <si>
    <t>6.7</t>
  </si>
  <si>
    <t>6.8</t>
  </si>
  <si>
    <t>6.9</t>
  </si>
  <si>
    <t>6.10</t>
  </si>
  <si>
    <t>6.11</t>
  </si>
  <si>
    <t>6.12</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</si>
  <si>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</si>
  <si>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</si>
  <si>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</si>
  <si>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</si>
  <si>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</si>
  <si>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</si>
  <si>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</si>
  <si>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</si>
  <si>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</si>
  <si>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</si>
  <si>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</si>
  <si>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</si>
  <si>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</si>
  <si>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</si>
  <si>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</si>
  <si>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</si>
  <si>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</si>
  <si>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</si>
  <si>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</si>
  <si>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</si>
  <si>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</si>
  <si>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</si>
  <si>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</si>
  <si>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</si>
  <si>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</si>
  <si>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</si>
  <si>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</si>
  <si>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7.1</t>
  </si>
  <si>
    <t>7.2</t>
  </si>
  <si>
    <t>7.3</t>
  </si>
  <si>
    <t>7.4</t>
  </si>
  <si>
    <t>7.5</t>
  </si>
  <si>
    <t>7.6</t>
  </si>
  <si>
    <t>7.7</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</si>
  <si>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</si>
  <si>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</si>
  <si>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</si>
  <si>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</si>
  <si>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</si>
  <si>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</si>
  <si>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</si>
  <si>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</si>
  <si>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</si>
  <si>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</si>
  <si>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</si>
  <si>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</si>
  <si>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</si>
  <si>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</si>
  <si>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</si>
  <si>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</si>
  <si>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</si>
  <si>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</si>
  <si>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</si>
  <si>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</si>
  <si>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</si>
  <si>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</si>
  <si>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</si>
  <si>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</si>
  <si>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</si>
  <si>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</si>
  <si>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</si>
  <si>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</si>
  <si>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</si>
  <si>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</si>
  <si>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</si>
  <si>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</si>
  <si>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</si>
  <si>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8.1</t>
  </si>
  <si>
    <t>8.2</t>
  </si>
  <si>
    <t>8.3</t>
  </si>
  <si>
    <t>8.4</t>
  </si>
  <si>
    <t>8.5</t>
  </si>
  <si>
    <t>8.6</t>
  </si>
  <si>
    <t>8.7</t>
  </si>
  <si>
    <t>8.8</t>
  </si>
  <si>
    <t>8.9</t>
  </si>
  <si>
    <t>8.10</t>
  </si>
  <si>
    <t>1.   Bidders are allowed to change only the yellow highlighted cells;
2.   All yellow highlighted cells must be filled in without omissions;
3.   Currency for CLIN 3 must be clearly indicated;
4.   Each Unit Price shall have the following factored in: (a) G&amp;A, (b) Administrative Cost, and (c) Profit.</t>
  </si>
  <si>
    <r>
      <rPr>
        <b/>
        <sz val="12"/>
        <color theme="1"/>
        <rFont val="Calibri"/>
        <family val="2"/>
        <scheme val="minor"/>
      </rPr>
      <t>INSTRUCTIONS TO BIDDERS</t>
    </r>
    <r>
      <rPr>
        <sz val="12"/>
        <color theme="1"/>
        <rFont val="Calibri"/>
        <family val="2"/>
        <scheme val="minor"/>
      </rPr>
      <t xml:space="preserve">
1.   Bidders are allowed to change only the yellow highlighted cells;
2.   All yellow highlighted cells must be filled in without omissions.</t>
    </r>
  </si>
  <si>
    <t>Optional installation services will be added to the TO only if requested. The price in CLIN 3 shall include all installation activities including travel, material, per diem and other costs. Estimated allocation of requirements for engineering services: 5% North America - 10% United Kingdom - 1% Tϋrkiye - 84% Europe; Estimated duration per service requirement: Three (3) days.</t>
  </si>
  <si>
    <t>CLIN 9.0</t>
  </si>
  <si>
    <t>9.1</t>
  </si>
  <si>
    <t>KVM Switches</t>
  </si>
  <si>
    <t>Total CLIN 2 - KVM Switches discounted price</t>
  </si>
  <si>
    <t>CLIN 9</t>
  </si>
  <si>
    <t>CLIN 9 - KVM Switches Global Price List (GPL) discounted price</t>
  </si>
  <si>
    <t>Total CLIN 8 - KVM Switches Tempested</t>
  </si>
  <si>
    <t>CLIN 8 - KVM Switches Tempesting</t>
  </si>
  <si>
    <t>Fully Burdened Daily                        Rate*                                                   Year 2023                                       (EDC through 31 Dec 2023</t>
  </si>
  <si>
    <t>Fully Burdened Daily                        Rate*                                                             Year 2024                                                 (1 Jan 2024 through 31 Dec 2024)</t>
  </si>
  <si>
    <t>Fully Burdened Daily                      Rate*                                                    Year 2025                                                                  (1 Jan 2025 through 31 Dec 2025)</t>
  </si>
  <si>
    <t>Fully Burdened Daily                     Rate*                                                                                        Year 2026                                                  (1 Jan 2026 through 31 Dec 2026)</t>
  </si>
  <si>
    <t>Fully Burdened Daily                     Rate*                                                                  Year 2027                                                  (1 Jan 2027 through 31 Dec 2027)</t>
  </si>
  <si>
    <t>BasedDesk Thin Clients</t>
  </si>
  <si>
    <t>Work Station Systems</t>
  </si>
  <si>
    <t>Mobile WS Entry</t>
  </si>
  <si>
    <t>Deskbased Entry WS</t>
  </si>
  <si>
    <t>Commercial Display</t>
  </si>
  <si>
    <t>Workstation Displays</t>
  </si>
  <si>
    <t>Commercial Docking</t>
  </si>
  <si>
    <t>Commercial Desktop Accessories</t>
  </si>
  <si>
    <t>Workstation Accessories</t>
  </si>
  <si>
    <t>Commercial Notebook Accessories</t>
  </si>
  <si>
    <t>Commercial Notebooks</t>
  </si>
  <si>
    <t>Commercial Desktop PCS</t>
  </si>
  <si>
    <t>Mobile Workstations</t>
  </si>
  <si>
    <t>Mobile Thin Clients</t>
  </si>
  <si>
    <t>Workstation Z4 G4</t>
  </si>
  <si>
    <t>HP Z2 G9 SFF</t>
  </si>
  <si>
    <t>HP T640</t>
  </si>
  <si>
    <t>F1DN202KVM-UNN4</t>
  </si>
  <si>
    <t>Belkin F1DN102KVM-UNN4</t>
  </si>
  <si>
    <t>Belkin Universal Secure KVM Switch, 4 Port, Dual Head F1DN204KVM-UNN4</t>
  </si>
  <si>
    <t>Belkin F1DN202KVM-UNN4</t>
  </si>
  <si>
    <t>Notional total discounted price in EUR
(for evaluation purposes only)</t>
  </si>
  <si>
    <t xml:space="preserve">Tempesting fixed percentage per unit on dicounted price </t>
  </si>
  <si>
    <t>Indicative quantities</t>
  </si>
  <si>
    <t>HP E24t</t>
  </si>
  <si>
    <r>
      <rPr>
        <b/>
        <sz val="12"/>
        <color theme="1"/>
        <rFont val="Calibri"/>
        <family val="2"/>
        <scheme val="minor"/>
      </rPr>
      <t>INSTRUCTIONS TO BIDDERS</t>
    </r>
    <r>
      <rPr>
        <sz val="12"/>
        <color theme="1"/>
        <rFont val="Calibri"/>
        <family val="2"/>
        <scheme val="minor"/>
      </rPr>
      <t xml:space="preserve">
1.   Bidders are allowed to change only the yellow highlighted cells;
2.   All yellow highlighted cells must be filled in without omissions;
3.   Currency for CLINs 1, 2, 4, 6, 7, 8 and 9 must be in EUR by default.</t>
    </r>
  </si>
  <si>
    <r>
      <rPr>
        <b/>
        <sz val="12"/>
        <color theme="1"/>
        <rFont val="Calibri"/>
        <family val="2"/>
        <scheme val="minor"/>
      </rPr>
      <t>INSTRUCTIONS TO BIDDERS</t>
    </r>
    <r>
      <rPr>
        <sz val="12"/>
        <color theme="1"/>
        <rFont val="Calibri"/>
        <family val="2"/>
        <scheme val="minor"/>
      </rPr>
      <t xml:space="preserve">
1.   Bidders are allowed to change only the yellow highlighted cells;
2.   All yellow highlighted cells must be filled in without omissions.                                                                                                                                                                                                                                                                                                                                                                                                                                                                    </t>
    </r>
    <r>
      <rPr>
        <sz val="12"/>
        <color rgb="FFFF0000"/>
        <rFont val="Calibri"/>
        <family val="2"/>
        <scheme val="minor"/>
      </rPr>
      <t xml:space="preserve">3.  Tempesting fixed percentage per unit on dicounted price  shall remain during the Period of Performance.  </t>
    </r>
  </si>
  <si>
    <r>
      <rPr>
        <b/>
        <sz val="12"/>
        <color theme="1"/>
        <rFont val="Calibri"/>
        <family val="2"/>
        <scheme val="minor"/>
      </rPr>
      <t>INSTRUCTIONS TO BIDDERS</t>
    </r>
    <r>
      <rPr>
        <sz val="12"/>
        <color theme="1"/>
        <rFont val="Calibri"/>
        <family val="2"/>
        <scheme val="minor"/>
      </rPr>
      <t xml:space="preserve">
1.   Bidders are allowed to change only the yellow highlighted cells;
2.   All yellow highlighted cells must be filled in without omissions.                                                                                                                                                                                                                                                                                                                                                                                                                                                                                                                                      3. </t>
    </r>
    <r>
      <rPr>
        <sz val="12"/>
        <color rgb="FFFF0000"/>
        <rFont val="Calibri"/>
        <family val="2"/>
        <scheme val="minor"/>
      </rPr>
      <t xml:space="preserve">  Tempesting fixed percentage per unit on dicounted price  shall remain during the Period of Performance.  </t>
    </r>
  </si>
  <si>
    <r>
      <rPr>
        <b/>
        <sz val="12"/>
        <color theme="1"/>
        <rFont val="Calibri"/>
        <family val="2"/>
        <scheme val="minor"/>
      </rPr>
      <t>INSTRUCTIONS TO BIDDERS</t>
    </r>
    <r>
      <rPr>
        <sz val="12"/>
        <color theme="1"/>
        <rFont val="Calibri"/>
        <family val="2"/>
        <scheme val="minor"/>
      </rPr>
      <t xml:space="preserve">
1.   Bidders are allowed to change only the yellow highlighted cells;
2.   All yellow highlighted cells must be filled in without omissions.                                                                                                                                                                                                                                                                                                                                                                                                                                             3.   </t>
    </r>
    <r>
      <rPr>
        <sz val="12"/>
        <color rgb="FFFF0000"/>
        <rFont val="Calibri"/>
        <family val="2"/>
        <scheme val="minor"/>
      </rPr>
      <t xml:space="preserve">Tempesting fixed percentage per unit on dicounted price  shall remain during the Period of Performance.   </t>
    </r>
  </si>
  <si>
    <t>Delivery Lead time is composed by: 
1) OEM Lead Time (declared on the website)
2) Contractor Lead Time CLIN 4
3) Tempesting Lead time CLIN6, CLIN 7, and CLIN 8 (if required based on the CLIN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</si>
</sst>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_);_(* \(#,##0.00\);_(* &quot;-&quot;??_);_(@_)"/>
    <numFmt numFmtId="165" formatCode="_(* #,##0_);_(* \(#,##0\);_(* &quot;-&quot;??_);_(@_)"/>
    <numFmt numFmtId="166" formatCode="_([$€-2]\ * #,##0.00_);_([$€-2]\ * \(#,##0.00\);_([$€-2]\ * &quot;-&quot;??_);_(@_)"/>
    <numFmt numFmtId="167" formatCode="0.0"/>
    <numFmt numFmtId="168" formatCode="_(* #,##0.000_);_(* \(#,##0.000\);_(* &quot;-&quot;??_);_(@_)"/>
  </numFmts>
  <fonts count="37" x14ac:knownFonts="1">
    <font>
      <sz val="11"/>
      <color theme="1"/>
      <name val="Calibri"/>
      <family val="2"/>
      <scheme val="minor"/>
    </font>
    <font>
      <sz val="11"/>
      <color theme="1"/>
      <name val="Calibri"/>
      <family val="2"/>
      <scheme val="minor"/>
    </font>
    <font>
      <sz val="10"/>
      <name val="Arial"/>
      <family val="2"/>
    </font>
    <font>
      <sz val="10"/>
      <name val="Times New Roman"/>
      <family val="1"/>
    </font>
    <font>
      <b/>
      <sz val="11"/>
      <name val="Calibri"/>
      <family val="2"/>
      <scheme val="minor"/>
    </font>
    <font>
      <sz val="11"/>
      <color rgb="FF006100"/>
      <name val="Calibri"/>
      <family val="2"/>
      <scheme val="minor"/>
    </font>
    <font>
      <b/>
      <sz val="12"/>
      <color theme="1"/>
      <name val="Calibri"/>
      <family val="2"/>
      <scheme val="minor"/>
    </font>
    <font>
      <b/>
      <sz val="12"/>
      <name val="Calibri"/>
      <family val="2"/>
      <scheme val="minor"/>
    </font>
    <font>
      <b/>
      <sz val="10"/>
      <name val="Times New Roman"/>
      <family val="1"/>
    </font>
    <font>
      <sz val="12"/>
      <name val="Calibri"/>
      <family val="2"/>
      <scheme val="minor"/>
    </font>
    <font>
      <sz val="12"/>
      <color theme="1"/>
      <name val="Calibri"/>
      <family val="2"/>
      <scheme val="minor"/>
    </font>
    <font>
      <sz val="10"/>
      <name val="Calibri"/>
      <family val="2"/>
      <scheme val="minor"/>
    </font>
    <font>
      <b/>
      <sz val="14"/>
      <name val="Calibri"/>
      <family val="2"/>
      <scheme val="minor"/>
    </font>
    <font>
      <b/>
      <sz val="14"/>
      <name val="Calibri"/>
      <family val="2"/>
    </font>
    <font>
      <b/>
      <sz val="12"/>
      <color theme="1"/>
      <name val="Times New Roman"/>
      <family val="1"/>
    </font>
    <font>
      <sz val="12"/>
      <name val="Times New Roman"/>
      <family val="1"/>
    </font>
    <font>
      <b/>
      <sz val="12"/>
      <color rgb="FFFF0000"/>
      <name val="Calibri"/>
      <family val="2"/>
      <scheme val="minor"/>
    </font>
    <font>
      <sz val="11"/>
      <color rgb="FF000000"/>
      <name val="Calibri"/>
      <family val="2"/>
    </font>
    <font>
      <sz val="11"/>
      <name val="Calibri"/>
      <family val="2"/>
    </font>
    <font>
      <sz val="11"/>
      <color theme="1"/>
      <name val="Calibri"/>
      <family val="2"/>
    </font>
    <font>
      <b/>
      <sz val="11"/>
      <name val="Calibri"/>
      <family val="2"/>
    </font>
    <font>
      <b/>
      <sz val="14"/>
      <color theme="1"/>
      <name val="Calibri"/>
      <family val="2"/>
      <scheme val="minor"/>
    </font>
    <font>
      <sz val="12"/>
      <name val="Calibri"/>
      <family val="2"/>
    </font>
    <font>
      <b/>
      <sz val="11"/>
      <color theme="0"/>
      <name val="Calibri"/>
      <family val="2"/>
      <scheme val="minor"/>
    </font>
    <font>
      <b/>
      <sz val="11"/>
      <color theme="1"/>
      <name val="Calibri"/>
      <family val="2"/>
      <scheme val="minor"/>
    </font>
    <font>
      <i/>
      <sz val="11"/>
      <color theme="1"/>
      <name val="Calibri"/>
      <family val="2"/>
      <scheme val="minor"/>
    </font>
    <font>
      <b/>
      <sz val="13"/>
      <color theme="0"/>
      <name val="Calibri"/>
      <family val="2"/>
      <scheme val="minor"/>
    </font>
    <font>
      <b/>
      <sz val="12"/>
      <color theme="0"/>
      <name val="Calibri"/>
      <family val="2"/>
      <scheme val="minor"/>
    </font>
    <font>
      <sz val="14"/>
      <color theme="1"/>
      <name val="Calibri"/>
      <family val="2"/>
      <scheme val="minor"/>
    </font>
    <font>
      <sz val="12"/>
      <color rgb="FFFF0000"/>
      <name val="Calibri"/>
      <family val="2"/>
      <scheme val="minor"/>
    </font>
    <font>
      <strike/>
      <sz val="11"/>
      <color rgb="FF000000"/>
      <name val="Calibri"/>
      <family val="2"/>
    </font>
    <font>
      <strike/>
      <sz val="12"/>
      <name val="Calibri"/>
      <family val="2"/>
      <scheme val="minor"/>
    </font>
    <font>
      <strike/>
      <sz val="11"/>
      <name val="Calibri"/>
      <family val="2"/>
      <scheme val="minor"/>
    </font>
    <font>
      <b/>
      <sz val="11"/>
      <color rgb="FFFF0000"/>
      <name val="Calibri"/>
      <family val="2"/>
      <scheme val="minor"/>
    </font>
    <font>
      <b/>
      <sz val="11"/>
      <color rgb="FFFF0000"/>
      <name val="Calibri"/>
      <family val="2"/>
    </font>
    <font>
      <sz val="12"/>
      <color rgb="FF000000"/>
      <name val="Calibri"/>
      <family val="2"/>
      <scheme val="minor"/>
    </font>
    <font>
      <sz val="12"/>
      <color rgb="FFFF0000"/>
      <name val="Calibri"/>
      <family val="2"/>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theme="2"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1" tint="0.249977111117893"/>
        <bgColor indexed="64"/>
      </patternFill>
    </fill>
    <fill>
      <patternFill patternType="solid">
        <fgColor theme="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theme="0" tint="-0.14999847407452621"/>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bottom/>
      <diagonal/>
    </border>
    <border>
      <left style="thin">
        <color indexed="64"/>
      </left>
      <right/>
      <top style="medium">
        <color indexed="64"/>
      </top>
      <bottom/>
      <diagonal/>
    </border>
  </borders>
  <cellStyleXfs count="10">
    <xf numFmtId="0" fontId="0" fillId="0" borderId="0"/>
    <xf numFmtId="164"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1" fillId="0" borderId="0"/>
    <xf numFmtId="0" fontId="2" fillId="0" borderId="0"/>
    <xf numFmtId="0" fontId="5" fillId="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26">
    <xf numFmtId="0" fontId="0" fillId="0" borderId="0" xfId="0"/>
    <xf numFmtId="0" fontId="3" fillId="0" borderId="0" xfId="0" applyFont="1" applyAlignment="1">
      <alignment horizontal="center" vertical="center"/>
    </xf>
    <xf numFmtId="0" fontId="9" fillId="0" borderId="1" xfId="0" applyFont="1" applyFill="1" applyBorder="1" applyAlignment="1">
      <alignment horizontal="left" vertical="center" wrapText="1"/>
    </xf>
    <xf numFmtId="10" fontId="9" fillId="3" borderId="1" xfId="4" applyNumberFormat="1" applyFont="1" applyFill="1" applyBorder="1" applyAlignment="1">
      <alignment horizontal="center" vertical="center" wrapText="1"/>
    </xf>
    <xf numFmtId="0" fontId="10" fillId="0" borderId="0" xfId="0" applyFont="1" applyBorder="1" applyAlignment="1">
      <alignment horizontal="left" vertical="center"/>
    </xf>
    <xf numFmtId="0" fontId="6" fillId="0" borderId="0" xfId="0" applyFont="1" applyAlignment="1">
      <alignment horizontal="center" vertical="center" wrapText="1"/>
    </xf>
    <xf numFmtId="0" fontId="11" fillId="0" borderId="0" xfId="0" applyFont="1" applyAlignment="1">
      <alignment vertical="center" wrapText="1"/>
    </xf>
    <xf numFmtId="0" fontId="3" fillId="0" borderId="0" xfId="0" applyFont="1" applyFill="1" applyAlignment="1">
      <alignment vertical="center"/>
    </xf>
    <xf numFmtId="0" fontId="3" fillId="0" borderId="0" xfId="0" applyFont="1" applyAlignment="1">
      <alignment vertical="center"/>
    </xf>
    <xf numFmtId="0" fontId="8" fillId="0" borderId="0" xfId="0" applyFont="1" applyAlignment="1">
      <alignment vertical="center"/>
    </xf>
    <xf numFmtId="49" fontId="14" fillId="0" borderId="0" xfId="0" applyNumberFormat="1" applyFont="1" applyBorder="1" applyAlignment="1">
      <alignment horizontal="center" vertical="center"/>
    </xf>
    <xf numFmtId="0" fontId="15" fillId="0" borderId="0" xfId="0" applyFont="1" applyAlignment="1">
      <alignment vertical="center"/>
    </xf>
    <xf numFmtId="0" fontId="3" fillId="0" borderId="0" xfId="0" applyFont="1" applyAlignment="1">
      <alignment vertical="center" wrapText="1"/>
    </xf>
    <xf numFmtId="0" fontId="3" fillId="0" borderId="0" xfId="1" applyNumberFormat="1" applyFont="1" applyAlignment="1">
      <alignment vertical="center"/>
    </xf>
    <xf numFmtId="166" fontId="9" fillId="0" borderId="1" xfId="0" applyNumberFormat="1" applyFont="1" applyFill="1" applyBorder="1" applyAlignment="1">
      <alignment horizontal="left" vertical="center" wrapText="1"/>
    </xf>
    <xf numFmtId="0" fontId="3" fillId="0" borderId="0" xfId="0" applyFont="1" applyAlignment="1">
      <alignment horizontal="center" vertical="center" wrapText="1"/>
    </xf>
    <xf numFmtId="0" fontId="3" fillId="0" borderId="0" xfId="1" applyNumberFormat="1" applyFont="1" applyAlignment="1">
      <alignment horizontal="center" vertical="center"/>
    </xf>
    <xf numFmtId="0" fontId="18" fillId="0" borderId="1" xfId="0" applyFont="1" applyFill="1" applyBorder="1" applyAlignment="1">
      <alignment horizontal="left" vertical="center" wrapText="1"/>
    </xf>
    <xf numFmtId="0" fontId="3" fillId="3" borderId="0" xfId="0" applyFont="1" applyFill="1" applyAlignment="1">
      <alignment vertical="center"/>
    </xf>
    <xf numFmtId="49" fontId="14" fillId="7" borderId="1" xfId="0" applyNumberFormat="1" applyFont="1" applyFill="1" applyBorder="1" applyAlignment="1">
      <alignment horizontal="center" vertical="center"/>
    </xf>
    <xf numFmtId="0" fontId="16" fillId="0" borderId="0" xfId="0" applyFont="1" applyBorder="1" applyAlignment="1">
      <alignment vertical="center" wrapText="1"/>
    </xf>
    <xf numFmtId="0" fontId="7" fillId="6" borderId="1" xfId="0" applyFont="1" applyFill="1" applyBorder="1" applyAlignment="1">
      <alignment vertical="center" wrapText="1"/>
    </xf>
    <xf numFmtId="4" fontId="9" fillId="3" borderId="1" xfId="0" applyNumberFormat="1" applyFont="1" applyFill="1" applyBorder="1" applyAlignment="1">
      <alignment horizontal="right" vertical="center" wrapText="1"/>
    </xf>
    <xf numFmtId="0" fontId="2" fillId="0" borderId="0" xfId="2" applyFont="1" applyAlignment="1">
      <alignment horizontal="center"/>
    </xf>
    <xf numFmtId="0" fontId="4" fillId="0" borderId="0" xfId="0" applyFont="1"/>
    <xf numFmtId="0" fontId="9" fillId="0" borderId="2" xfId="0" applyFont="1" applyFill="1" applyBorder="1" applyAlignment="1">
      <alignment vertical="center" wrapText="1"/>
    </xf>
    <xf numFmtId="10" fontId="9" fillId="3" borderId="1" xfId="4" applyNumberFormat="1" applyFont="1" applyFill="1" applyBorder="1" applyAlignment="1">
      <alignment horizontal="center" vertical="center"/>
    </xf>
    <xf numFmtId="167" fontId="9" fillId="3" borderId="1" xfId="0" applyNumberFormat="1" applyFont="1" applyFill="1" applyBorder="1" applyAlignment="1">
      <alignment horizontal="center" vertical="center"/>
    </xf>
    <xf numFmtId="167" fontId="19" fillId="3" borderId="1" xfId="0" applyNumberFormat="1" applyFont="1" applyFill="1" applyBorder="1" applyAlignment="1">
      <alignment horizontal="center" vertical="center" wrapText="1"/>
    </xf>
    <xf numFmtId="166" fontId="9" fillId="3" borderId="1" xfId="1" applyNumberFormat="1" applyFont="1" applyFill="1" applyBorder="1" applyAlignment="1">
      <alignment horizontal="center" vertical="center"/>
    </xf>
    <xf numFmtId="0" fontId="0" fillId="2" borderId="0" xfId="0" applyFill="1"/>
    <xf numFmtId="0" fontId="26" fillId="8" borderId="1" xfId="0" applyFont="1" applyFill="1" applyBorder="1" applyAlignment="1">
      <alignment horizontal="center" vertical="center" wrapText="1"/>
    </xf>
    <xf numFmtId="0" fontId="24" fillId="9" borderId="2" xfId="0" applyFont="1" applyFill="1" applyBorder="1" applyAlignment="1">
      <alignment vertical="center"/>
    </xf>
    <xf numFmtId="0" fontId="27" fillId="9" borderId="3" xfId="0" applyFont="1" applyFill="1" applyBorder="1" applyAlignment="1">
      <alignment horizontal="right" vertical="center"/>
    </xf>
    <xf numFmtId="0" fontId="24" fillId="0" borderId="18" xfId="0" applyFont="1" applyFill="1" applyBorder="1" applyAlignment="1">
      <alignment vertical="center"/>
    </xf>
    <xf numFmtId="0" fontId="23" fillId="0" borderId="18" xfId="0" applyFont="1" applyFill="1" applyBorder="1" applyAlignment="1">
      <alignment horizontal="right" vertical="center"/>
    </xf>
    <xf numFmtId="0" fontId="6" fillId="10" borderId="8" xfId="0" applyFont="1" applyFill="1" applyBorder="1" applyAlignment="1">
      <alignment vertical="center"/>
    </xf>
    <xf numFmtId="0" fontId="0" fillId="10" borderId="9" xfId="0" applyFont="1" applyFill="1" applyBorder="1" applyAlignment="1">
      <alignment vertical="center"/>
    </xf>
    <xf numFmtId="43" fontId="28" fillId="10" borderId="10" xfId="1" applyNumberFormat="1" applyFont="1" applyFill="1" applyBorder="1" applyAlignment="1">
      <alignment vertical="center"/>
    </xf>
    <xf numFmtId="0" fontId="24" fillId="0" borderId="19" xfId="0" applyFont="1" applyFill="1" applyBorder="1" applyAlignment="1">
      <alignment vertical="center"/>
    </xf>
    <xf numFmtId="0" fontId="0" fillId="0" borderId="19" xfId="0" applyFont="1" applyFill="1" applyBorder="1" applyAlignment="1">
      <alignment vertical="center"/>
    </xf>
    <xf numFmtId="43" fontId="28" fillId="0" borderId="19" xfId="1" applyNumberFormat="1" applyFont="1"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16" xfId="0" applyFill="1" applyBorder="1" applyAlignment="1">
      <alignment vertical="center"/>
    </xf>
    <xf numFmtId="0" fontId="0" fillId="2" borderId="7" xfId="0" applyFill="1" applyBorder="1" applyAlignment="1">
      <alignment vertical="center"/>
    </xf>
    <xf numFmtId="0" fontId="0" fillId="2" borderId="11" xfId="0" applyFill="1" applyBorder="1" applyAlignment="1">
      <alignment vertical="center"/>
    </xf>
    <xf numFmtId="0" fontId="0" fillId="2" borderId="1" xfId="0" applyFill="1" applyBorder="1" applyAlignment="1">
      <alignment vertical="center"/>
    </xf>
    <xf numFmtId="164" fontId="0" fillId="0" borderId="12" xfId="1" applyFont="1" applyFill="1" applyBorder="1" applyAlignment="1">
      <alignment vertical="center"/>
    </xf>
    <xf numFmtId="0" fontId="24" fillId="11" borderId="13" xfId="0" applyFont="1" applyFill="1" applyBorder="1" applyAlignment="1">
      <alignment vertical="center"/>
    </xf>
    <xf numFmtId="0" fontId="24" fillId="11" borderId="14" xfId="0" applyFont="1" applyFill="1" applyBorder="1" applyAlignment="1">
      <alignment vertical="center"/>
    </xf>
    <xf numFmtId="43" fontId="24" fillId="11" borderId="15" xfId="1" applyNumberFormat="1" applyFont="1" applyFill="1" applyBorder="1" applyAlignment="1">
      <alignment vertical="center"/>
    </xf>
    <xf numFmtId="43" fontId="0" fillId="3" borderId="10" xfId="1" applyNumberFormat="1" applyFont="1" applyFill="1" applyBorder="1" applyAlignment="1">
      <alignment vertical="center"/>
    </xf>
    <xf numFmtId="43" fontId="0" fillId="3" borderId="17" xfId="1" applyNumberFormat="1" applyFont="1" applyFill="1" applyBorder="1" applyAlignment="1">
      <alignment vertical="center"/>
    </xf>
    <xf numFmtId="0" fontId="25" fillId="2" borderId="0" xfId="0" applyFont="1" applyFill="1" applyAlignment="1">
      <alignment vertical="center"/>
    </xf>
    <xf numFmtId="0" fontId="10" fillId="3" borderId="1" xfId="0" applyFont="1" applyFill="1" applyBorder="1" applyAlignment="1">
      <alignment horizontal="center" vertical="center"/>
    </xf>
    <xf numFmtId="166" fontId="9" fillId="0" borderId="1" xfId="4" applyNumberFormat="1" applyFont="1" applyFill="1" applyBorder="1" applyAlignment="1">
      <alignment horizontal="center" vertical="center"/>
    </xf>
    <xf numFmtId="0" fontId="7" fillId="6" borderId="1" xfId="0" applyFont="1" applyFill="1" applyBorder="1" applyAlignment="1">
      <alignment horizontal="left" vertical="center" wrapText="1"/>
    </xf>
    <xf numFmtId="0" fontId="11" fillId="3" borderId="1" xfId="0" applyFont="1" applyFill="1" applyBorder="1" applyAlignment="1">
      <alignment vertical="center" wrapText="1"/>
    </xf>
    <xf numFmtId="165" fontId="9" fillId="0" borderId="1" xfId="0" applyNumberFormat="1" applyFont="1" applyFill="1" applyBorder="1" applyAlignment="1">
      <alignment horizontal="left" vertical="center" wrapText="1"/>
    </xf>
    <xf numFmtId="165" fontId="9" fillId="2" borderId="1" xfId="0" applyNumberFormat="1" applyFont="1" applyFill="1" applyBorder="1" applyAlignment="1">
      <alignment horizontal="left" vertical="center" wrapText="1"/>
    </xf>
    <xf numFmtId="0" fontId="17" fillId="2" borderId="1" xfId="0" applyFont="1" applyFill="1" applyBorder="1" applyAlignment="1">
      <alignment horizontal="left" vertical="center" wrapText="1"/>
    </xf>
    <xf numFmtId="0" fontId="9" fillId="2" borderId="1" xfId="0" applyFont="1" applyFill="1" applyBorder="1"/>
    <xf numFmtId="0" fontId="9"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167" fontId="19" fillId="3" borderId="7" xfId="0" applyNumberFormat="1" applyFont="1" applyFill="1" applyBorder="1" applyAlignment="1">
      <alignment horizontal="center" vertical="center" wrapText="1"/>
    </xf>
    <xf numFmtId="0" fontId="9" fillId="2" borderId="1" xfId="0" applyFont="1" applyFill="1" applyBorder="1" applyAlignment="1">
      <alignment horizontal="left"/>
    </xf>
    <xf numFmtId="166" fontId="9" fillId="6" borderId="1" xfId="0" applyNumberFormat="1" applyFont="1" applyFill="1" applyBorder="1" applyAlignment="1">
      <alignment horizontal="left" vertical="center" wrapText="1"/>
    </xf>
    <xf numFmtId="10" fontId="9" fillId="6" borderId="1" xfId="4" applyNumberFormat="1" applyFont="1" applyFill="1" applyBorder="1" applyAlignment="1">
      <alignment horizontal="center" vertical="center" wrapText="1"/>
    </xf>
    <xf numFmtId="166" fontId="9" fillId="6" borderId="1" xfId="1" applyNumberFormat="1" applyFont="1" applyFill="1" applyBorder="1" applyAlignment="1">
      <alignment horizontal="center" vertical="center"/>
    </xf>
    <xf numFmtId="49" fontId="7" fillId="2" borderId="11" xfId="0" quotePrefix="1" applyNumberFormat="1" applyFont="1" applyFill="1" applyBorder="1" applyAlignment="1">
      <alignment horizontal="center" vertical="center" wrapText="1"/>
    </xf>
    <xf numFmtId="0" fontId="3" fillId="3" borderId="12" xfId="0" applyFont="1" applyFill="1" applyBorder="1" applyAlignment="1">
      <alignment vertical="center"/>
    </xf>
    <xf numFmtId="49" fontId="7" fillId="12" borderId="8" xfId="0" quotePrefix="1" applyNumberFormat="1" applyFont="1" applyFill="1" applyBorder="1" applyAlignment="1">
      <alignment horizontal="center" vertical="center" wrapText="1"/>
    </xf>
    <xf numFmtId="0" fontId="7" fillId="12" borderId="9" xfId="0" applyFont="1" applyFill="1" applyBorder="1" applyAlignment="1">
      <alignment vertical="center" wrapText="1"/>
    </xf>
    <xf numFmtId="49" fontId="7" fillId="0" borderId="11" xfId="0" quotePrefix="1" applyNumberFormat="1" applyFont="1" applyFill="1" applyBorder="1" applyAlignment="1">
      <alignment horizontal="center" vertical="center" wrapText="1"/>
    </xf>
    <xf numFmtId="165" fontId="9" fillId="6" borderId="1" xfId="0" applyNumberFormat="1" applyFont="1" applyFill="1" applyBorder="1" applyAlignment="1">
      <alignment horizontal="left" vertical="center" wrapText="1"/>
    </xf>
    <xf numFmtId="49" fontId="4" fillId="6" borderId="1" xfId="0" applyNumberFormat="1" applyFont="1" applyFill="1" applyBorder="1" applyAlignment="1">
      <alignment horizontal="center" vertical="center" wrapText="1"/>
    </xf>
    <xf numFmtId="0" fontId="20" fillId="14" borderId="1" xfId="0" applyFont="1" applyFill="1" applyBorder="1" applyAlignment="1">
      <alignment horizontal="center" vertical="center" wrapText="1"/>
    </xf>
    <xf numFmtId="2" fontId="10" fillId="6" borderId="1" xfId="0" applyNumberFormat="1" applyFont="1" applyFill="1" applyBorder="1" applyAlignment="1">
      <alignment horizontal="center" vertical="center"/>
    </xf>
    <xf numFmtId="167" fontId="19" fillId="6" borderId="1" xfId="0" applyNumberFormat="1" applyFont="1" applyFill="1" applyBorder="1" applyAlignment="1">
      <alignment horizontal="center" vertical="center" wrapText="1"/>
    </xf>
    <xf numFmtId="0" fontId="17" fillId="6" borderId="1" xfId="0" applyFont="1" applyFill="1" applyBorder="1" applyAlignment="1">
      <alignment horizontal="left" vertical="center" wrapText="1"/>
    </xf>
    <xf numFmtId="0" fontId="9" fillId="6" borderId="1" xfId="0" applyFont="1" applyFill="1" applyBorder="1" applyAlignment="1">
      <alignment horizontal="left" vertical="center" wrapText="1"/>
    </xf>
    <xf numFmtId="0" fontId="20" fillId="13" borderId="8" xfId="0" applyFont="1" applyFill="1" applyBorder="1" applyAlignment="1">
      <alignment horizontal="center" vertical="center" wrapText="1"/>
    </xf>
    <xf numFmtId="0" fontId="20" fillId="13" borderId="9" xfId="0" applyFont="1" applyFill="1" applyBorder="1" applyAlignment="1">
      <alignment horizontal="center" vertical="center" wrapText="1"/>
    </xf>
    <xf numFmtId="0" fontId="17" fillId="6" borderId="11" xfId="0" quotePrefix="1" applyFont="1" applyFill="1" applyBorder="1" applyAlignment="1">
      <alignment horizontal="center" vertical="center" wrapText="1"/>
    </xf>
    <xf numFmtId="0" fontId="20" fillId="14" borderId="12" xfId="0" applyFont="1" applyFill="1" applyBorder="1" applyAlignment="1">
      <alignment horizontal="center" vertical="center" wrapText="1"/>
    </xf>
    <xf numFmtId="0" fontId="17" fillId="0" borderId="11" xfId="0" quotePrefix="1" applyFont="1" applyFill="1" applyBorder="1" applyAlignment="1">
      <alignment horizontal="center" vertical="center" wrapText="1"/>
    </xf>
    <xf numFmtId="167" fontId="19" fillId="3" borderId="12" xfId="0" applyNumberFormat="1" applyFont="1" applyFill="1" applyBorder="1" applyAlignment="1">
      <alignment horizontal="center" vertical="center" wrapText="1"/>
    </xf>
    <xf numFmtId="167" fontId="19" fillId="6" borderId="12" xfId="0" applyNumberFormat="1" applyFont="1" applyFill="1" applyBorder="1" applyAlignment="1">
      <alignment horizontal="center" vertical="center" wrapText="1"/>
    </xf>
    <xf numFmtId="0" fontId="7" fillId="12" borderId="9" xfId="0" applyFont="1" applyFill="1" applyBorder="1" applyAlignment="1">
      <alignment horizontal="center" vertical="center" wrapText="1"/>
    </xf>
    <xf numFmtId="0" fontId="7" fillId="12" borderId="9" xfId="1" applyNumberFormat="1" applyFont="1" applyFill="1" applyBorder="1" applyAlignment="1">
      <alignment horizontal="center" vertical="center" wrapText="1"/>
    </xf>
    <xf numFmtId="0" fontId="3" fillId="3" borderId="2" xfId="0" applyFont="1" applyFill="1" applyBorder="1" applyAlignment="1">
      <alignment vertical="center"/>
    </xf>
    <xf numFmtId="49" fontId="7" fillId="12" borderId="9" xfId="0" applyNumberFormat="1" applyFont="1" applyFill="1" applyBorder="1" applyAlignment="1">
      <alignment horizontal="center" vertical="center" wrapText="1"/>
    </xf>
    <xf numFmtId="0" fontId="7" fillId="12" borderId="10" xfId="0" applyNumberFormat="1" applyFont="1" applyFill="1" applyBorder="1" applyAlignment="1">
      <alignment horizontal="center" vertical="center" wrapText="1"/>
    </xf>
    <xf numFmtId="0" fontId="3" fillId="12" borderId="15" xfId="0" applyFont="1" applyFill="1" applyBorder="1" applyAlignment="1">
      <alignment vertical="center"/>
    </xf>
    <xf numFmtId="166" fontId="10" fillId="3" borderId="2" xfId="7" applyNumberFormat="1" applyFont="1" applyFill="1" applyBorder="1" applyAlignment="1">
      <alignment horizontal="left" vertical="center" wrapText="1"/>
    </xf>
    <xf numFmtId="0" fontId="7" fillId="12" borderId="21" xfId="1" applyNumberFormat="1" applyFont="1" applyFill="1" applyBorder="1" applyAlignment="1">
      <alignment horizontal="center" vertical="center" wrapText="1"/>
    </xf>
    <xf numFmtId="166" fontId="7" fillId="3" borderId="23" xfId="0" applyNumberFormat="1" applyFont="1" applyFill="1" applyBorder="1" applyAlignment="1">
      <alignment vertical="center"/>
    </xf>
    <xf numFmtId="0" fontId="20" fillId="13" borderId="21" xfId="0" applyFont="1" applyFill="1" applyBorder="1" applyAlignment="1">
      <alignment horizontal="center" vertical="center" wrapText="1"/>
    </xf>
    <xf numFmtId="0" fontId="20" fillId="14" borderId="2" xfId="0" applyFont="1" applyFill="1" applyBorder="1" applyAlignment="1">
      <alignment horizontal="center" vertical="center" wrapText="1"/>
    </xf>
    <xf numFmtId="167" fontId="19" fillId="3" borderId="2" xfId="0" applyNumberFormat="1" applyFont="1" applyFill="1" applyBorder="1" applyAlignment="1">
      <alignment horizontal="center" vertical="center" wrapText="1"/>
    </xf>
    <xf numFmtId="167" fontId="19" fillId="6" borderId="2" xfId="0" applyNumberFormat="1" applyFont="1" applyFill="1" applyBorder="1" applyAlignment="1">
      <alignment horizontal="center" vertical="center" wrapText="1"/>
    </xf>
    <xf numFmtId="165" fontId="9" fillId="6" borderId="11" xfId="0" applyNumberFormat="1" applyFont="1" applyFill="1" applyBorder="1" applyAlignment="1">
      <alignment horizontal="left" vertical="center" wrapText="1"/>
    </xf>
    <xf numFmtId="0" fontId="0" fillId="6" borderId="12" xfId="0" applyFill="1" applyBorder="1"/>
    <xf numFmtId="0" fontId="0" fillId="3" borderId="12" xfId="0" applyFill="1" applyBorder="1"/>
    <xf numFmtId="49" fontId="6" fillId="5" borderId="8"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NumberFormat="1" applyFont="1" applyFill="1" applyBorder="1" applyAlignment="1">
      <alignment horizontal="center" vertical="center" wrapText="1"/>
    </xf>
    <xf numFmtId="49" fontId="9" fillId="0" borderId="11" xfId="0" quotePrefix="1"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xf>
    <xf numFmtId="49" fontId="9" fillId="6" borderId="11" xfId="0" quotePrefix="1" applyNumberFormat="1" applyFont="1" applyFill="1" applyBorder="1" applyAlignment="1">
      <alignment horizontal="center" vertical="center" wrapText="1"/>
    </xf>
    <xf numFmtId="49" fontId="9" fillId="6" borderId="12" xfId="0" applyNumberFormat="1" applyFont="1" applyFill="1" applyBorder="1" applyAlignment="1">
      <alignment horizontal="center" vertical="center"/>
    </xf>
    <xf numFmtId="166" fontId="12" fillId="3" borderId="14" xfId="1" applyNumberFormat="1" applyFont="1" applyFill="1" applyBorder="1" applyAlignment="1">
      <alignment horizontal="center" vertical="center"/>
    </xf>
    <xf numFmtId="49" fontId="9" fillId="6" borderId="15" xfId="0" applyNumberFormat="1" applyFont="1" applyFill="1" applyBorder="1" applyAlignment="1">
      <alignment horizontal="center" vertical="center"/>
    </xf>
    <xf numFmtId="0" fontId="9" fillId="6" borderId="15" xfId="0" applyNumberFormat="1" applyFont="1" applyFill="1" applyBorder="1" applyAlignment="1">
      <alignment horizontal="left" vertical="center" wrapText="1"/>
    </xf>
    <xf numFmtId="0" fontId="7" fillId="6" borderId="2" xfId="0" applyFont="1" applyFill="1" applyBorder="1" applyAlignment="1">
      <alignment horizontal="left" vertical="center" wrapText="1"/>
    </xf>
    <xf numFmtId="0" fontId="18" fillId="6" borderId="2" xfId="0" applyFont="1" applyFill="1" applyBorder="1" applyAlignment="1">
      <alignment horizontal="left" vertical="center" wrapText="1"/>
    </xf>
    <xf numFmtId="0" fontId="7" fillId="6" borderId="20" xfId="0" applyFont="1" applyFill="1" applyBorder="1" applyAlignment="1">
      <alignment horizontal="left" vertical="center" wrapText="1"/>
    </xf>
    <xf numFmtId="165" fontId="9" fillId="6" borderId="2" xfId="0" applyNumberFormat="1" applyFont="1" applyFill="1" applyBorder="1" applyAlignment="1">
      <alignment horizontal="left" vertical="center" wrapText="1"/>
    </xf>
    <xf numFmtId="2" fontId="10" fillId="6" borderId="4" xfId="0" applyNumberFormat="1" applyFont="1" applyFill="1" applyBorder="1" applyAlignment="1">
      <alignment horizontal="center" vertical="center"/>
    </xf>
    <xf numFmtId="167" fontId="19" fillId="6" borderId="4" xfId="0" applyNumberFormat="1" applyFont="1" applyFill="1" applyBorder="1" applyAlignment="1">
      <alignment horizontal="center" vertical="center" wrapText="1"/>
    </xf>
    <xf numFmtId="167" fontId="19" fillId="6" borderId="3" xfId="0" applyNumberFormat="1" applyFont="1" applyFill="1" applyBorder="1" applyAlignment="1">
      <alignment horizontal="center" vertical="center" wrapText="1"/>
    </xf>
    <xf numFmtId="0" fontId="20" fillId="13" borderId="30" xfId="0" applyFont="1" applyFill="1" applyBorder="1" applyAlignment="1">
      <alignment horizontal="center" vertical="center" wrapText="1"/>
    </xf>
    <xf numFmtId="0" fontId="3" fillId="6" borderId="31" xfId="0" applyFont="1" applyFill="1" applyBorder="1" applyAlignment="1">
      <alignment vertical="center"/>
    </xf>
    <xf numFmtId="4" fontId="7" fillId="3" borderId="5" xfId="0" applyNumberFormat="1" applyFont="1" applyFill="1" applyBorder="1" applyAlignment="1">
      <alignment vertical="center"/>
    </xf>
    <xf numFmtId="4" fontId="7" fillId="3" borderId="20" xfId="0" applyNumberFormat="1" applyFont="1" applyFill="1" applyBorder="1" applyAlignment="1">
      <alignment vertical="center"/>
    </xf>
    <xf numFmtId="0" fontId="6" fillId="6" borderId="26" xfId="0" applyFont="1" applyFill="1" applyBorder="1" applyAlignment="1">
      <alignment horizontal="left" vertical="center"/>
    </xf>
    <xf numFmtId="3" fontId="9" fillId="2" borderId="28" xfId="0" applyNumberFormat="1"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3" fontId="9" fillId="6" borderId="2"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3" fontId="9" fillId="6" borderId="1" xfId="0" applyNumberFormat="1" applyFont="1" applyFill="1" applyBorder="1" applyAlignment="1">
      <alignment horizontal="center" vertical="center" wrapText="1"/>
    </xf>
    <xf numFmtId="3" fontId="17" fillId="6" borderId="1" xfId="0" applyNumberFormat="1" applyFont="1" applyFill="1" applyBorder="1" applyAlignment="1">
      <alignment horizontal="center" vertical="center" wrapText="1"/>
    </xf>
    <xf numFmtId="3" fontId="9" fillId="2" borderId="1" xfId="0" applyNumberFormat="1" applyFont="1" applyFill="1" applyBorder="1" applyAlignment="1">
      <alignment horizontal="center"/>
    </xf>
    <xf numFmtId="3" fontId="7" fillId="6" borderId="1" xfId="0" applyNumberFormat="1"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168" fontId="0" fillId="2" borderId="0" xfId="0" applyNumberFormat="1" applyFill="1"/>
    <xf numFmtId="0" fontId="7" fillId="6" borderId="1" xfId="0" applyFont="1" applyFill="1" applyBorder="1" applyAlignment="1">
      <alignment vertical="center" wrapText="1"/>
    </xf>
    <xf numFmtId="165" fontId="9" fillId="0" borderId="1" xfId="0" applyNumberFormat="1" applyFont="1" applyFill="1" applyBorder="1" applyAlignment="1">
      <alignment horizontal="left" vertical="center" wrapText="1"/>
    </xf>
    <xf numFmtId="0" fontId="9" fillId="2" borderId="1" xfId="0" applyFont="1" applyFill="1" applyBorder="1"/>
    <xf numFmtId="165" fontId="9" fillId="6" borderId="1" xfId="0" applyNumberFormat="1" applyFont="1" applyFill="1" applyBorder="1" applyAlignment="1">
      <alignment horizontal="left" vertical="center" wrapText="1"/>
    </xf>
    <xf numFmtId="0" fontId="9" fillId="6" borderId="1" xfId="0" applyFont="1" applyFill="1" applyBorder="1" applyAlignment="1">
      <alignment horizontal="left" vertical="center" wrapText="1"/>
    </xf>
    <xf numFmtId="0" fontId="7" fillId="12" borderId="9" xfId="0" applyFont="1" applyFill="1" applyBorder="1" applyAlignment="1">
      <alignment horizontal="center" vertical="center" wrapText="1"/>
    </xf>
    <xf numFmtId="165" fontId="16" fillId="2" borderId="1" xfId="0" applyNumberFormat="1" applyFont="1" applyFill="1" applyBorder="1" applyAlignment="1">
      <alignment horizontal="left" vertical="center" wrapText="1"/>
    </xf>
    <xf numFmtId="165" fontId="29" fillId="2" borderId="2" xfId="0" applyNumberFormat="1" applyFont="1" applyFill="1" applyBorder="1" applyAlignment="1">
      <alignment horizontal="left" vertical="center" wrapText="1"/>
    </xf>
    <xf numFmtId="165" fontId="29" fillId="0" borderId="1" xfId="0" applyNumberFormat="1" applyFont="1" applyFill="1" applyBorder="1" applyAlignment="1">
      <alignment horizontal="left" vertical="center" wrapText="1"/>
    </xf>
    <xf numFmtId="165" fontId="29" fillId="2" borderId="2" xfId="0" applyNumberFormat="1" applyFont="1" applyFill="1" applyBorder="1" applyAlignment="1">
      <alignment horizontal="left" vertical="center" wrapText="1" shrinkToFit="1"/>
    </xf>
    <xf numFmtId="165" fontId="29" fillId="2" borderId="28" xfId="0" applyNumberFormat="1" applyFont="1" applyFill="1" applyBorder="1" applyAlignment="1">
      <alignment horizontal="left" vertical="center" wrapText="1"/>
    </xf>
    <xf numFmtId="0" fontId="7" fillId="12" borderId="21" xfId="0" applyFont="1" applyFill="1" applyBorder="1" applyAlignment="1">
      <alignment horizontal="center" vertical="center" wrapText="1"/>
    </xf>
    <xf numFmtId="3" fontId="31" fillId="2" borderId="2" xfId="0" applyNumberFormat="1" applyFont="1" applyFill="1" applyBorder="1" applyAlignment="1">
      <alignment horizontal="center" vertical="center" wrapText="1"/>
    </xf>
    <xf numFmtId="3" fontId="31" fillId="2" borderId="20" xfId="0" applyNumberFormat="1" applyFont="1" applyFill="1" applyBorder="1" applyAlignment="1">
      <alignment horizontal="center" vertical="center" wrapText="1"/>
    </xf>
    <xf numFmtId="0" fontId="6" fillId="6" borderId="24" xfId="0" applyFont="1" applyFill="1" applyBorder="1" applyAlignment="1">
      <alignment horizontal="left" vertical="center"/>
    </xf>
    <xf numFmtId="43" fontId="0" fillId="0" borderId="17" xfId="1" applyNumberFormat="1" applyFont="1" applyFill="1" applyBorder="1" applyAlignment="1">
      <alignment vertical="center"/>
    </xf>
    <xf numFmtId="167" fontId="19" fillId="0" borderId="1" xfId="0" applyNumberFormat="1" applyFont="1" applyFill="1" applyBorder="1" applyAlignment="1">
      <alignment horizontal="center" vertical="center" wrapText="1"/>
    </xf>
    <xf numFmtId="0" fontId="3" fillId="0" borderId="12" xfId="0" applyFont="1" applyFill="1" applyBorder="1" applyAlignment="1">
      <alignment vertical="center"/>
    </xf>
    <xf numFmtId="167" fontId="19" fillId="0" borderId="5" xfId="0" applyNumberFormat="1" applyFont="1" applyFill="1" applyBorder="1" applyAlignment="1">
      <alignment horizontal="center" vertical="center" wrapText="1"/>
    </xf>
    <xf numFmtId="0" fontId="32" fillId="2" borderId="16" xfId="0" applyFont="1" applyFill="1" applyBorder="1" applyAlignment="1">
      <alignment vertical="center"/>
    </xf>
    <xf numFmtId="0" fontId="32" fillId="2" borderId="7" xfId="0" applyFont="1" applyFill="1" applyBorder="1" applyAlignment="1">
      <alignment vertical="center"/>
    </xf>
    <xf numFmtId="49" fontId="33" fillId="12" borderId="9" xfId="0" applyNumberFormat="1" applyFont="1" applyFill="1" applyBorder="1" applyAlignment="1">
      <alignment horizontal="center" vertical="center" wrapText="1"/>
    </xf>
    <xf numFmtId="10" fontId="10" fillId="3" borderId="1" xfId="4" applyNumberFormat="1" applyFont="1" applyFill="1" applyBorder="1" applyAlignment="1">
      <alignment horizontal="center" vertical="center"/>
    </xf>
    <xf numFmtId="166" fontId="10" fillId="3" borderId="1" xfId="0" applyNumberFormat="1" applyFont="1" applyFill="1" applyBorder="1" applyAlignment="1">
      <alignment horizontal="center" vertical="center"/>
    </xf>
    <xf numFmtId="166" fontId="4" fillId="6" borderId="1" xfId="0" applyNumberFormat="1" applyFont="1" applyFill="1" applyBorder="1" applyAlignment="1">
      <alignment horizontal="center" vertical="center" wrapText="1"/>
    </xf>
    <xf numFmtId="166" fontId="21" fillId="3" borderId="14" xfId="0" applyNumberFormat="1" applyFont="1" applyFill="1" applyBorder="1" applyAlignment="1">
      <alignment horizontal="center" vertical="center"/>
    </xf>
    <xf numFmtId="166" fontId="10" fillId="6" borderId="1" xfId="0" applyNumberFormat="1" applyFont="1" applyFill="1" applyBorder="1" applyAlignment="1">
      <alignment horizontal="center" vertical="center"/>
    </xf>
    <xf numFmtId="0" fontId="18" fillId="6" borderId="1" xfId="0" applyFont="1" applyFill="1" applyBorder="1" applyAlignment="1">
      <alignment horizontal="left" vertical="center" wrapText="1"/>
    </xf>
    <xf numFmtId="166" fontId="10" fillId="3" borderId="29" xfId="0" applyNumberFormat="1" applyFont="1" applyFill="1" applyBorder="1" applyAlignment="1">
      <alignment horizontal="center" vertical="center"/>
    </xf>
    <xf numFmtId="166" fontId="19" fillId="0" borderId="1" xfId="0" applyNumberFormat="1" applyFont="1" applyFill="1" applyBorder="1" applyAlignment="1">
      <alignment horizontal="center" vertical="center" wrapText="1"/>
    </xf>
    <xf numFmtId="166" fontId="10" fillId="6" borderId="4" xfId="0" applyNumberFormat="1" applyFont="1" applyFill="1" applyBorder="1" applyAlignment="1">
      <alignment horizontal="center" vertical="center"/>
    </xf>
    <xf numFmtId="0" fontId="34" fillId="13" borderId="32" xfId="0" applyFont="1" applyFill="1" applyBorder="1" applyAlignment="1">
      <alignment horizontal="center" vertical="center" wrapText="1"/>
    </xf>
    <xf numFmtId="0" fontId="35" fillId="6" borderId="1" xfId="0" applyFont="1" applyFill="1" applyBorder="1" applyAlignment="1">
      <alignment horizontal="left" vertical="center" wrapText="1"/>
    </xf>
    <xf numFmtId="0" fontId="10" fillId="0" borderId="1" xfId="0" applyFont="1" applyBorder="1"/>
    <xf numFmtId="0" fontId="10" fillId="0" borderId="0" xfId="0" applyFont="1"/>
    <xf numFmtId="0" fontId="35" fillId="0" borderId="11" xfId="0" quotePrefix="1" applyFont="1" applyFill="1" applyBorder="1" applyAlignment="1">
      <alignment horizontal="center" vertical="center" wrapText="1"/>
    </xf>
    <xf numFmtId="3" fontId="35" fillId="6" borderId="1" xfId="0" applyNumberFormat="1" applyFont="1" applyFill="1" applyBorder="1" applyAlignment="1">
      <alignment horizontal="center" vertical="center" wrapText="1"/>
    </xf>
    <xf numFmtId="0" fontId="35" fillId="2" borderId="1" xfId="0" applyFont="1" applyFill="1" applyBorder="1" applyAlignment="1">
      <alignment horizontal="left" vertical="center" wrapText="1"/>
    </xf>
    <xf numFmtId="166" fontId="9" fillId="0" borderId="1" xfId="0" applyNumberFormat="1" applyFont="1" applyFill="1" applyBorder="1" applyAlignment="1">
      <alignment horizontal="center" vertical="center" wrapText="1"/>
    </xf>
    <xf numFmtId="166" fontId="9" fillId="6" borderId="1" xfId="0" applyNumberFormat="1" applyFont="1" applyFill="1" applyBorder="1" applyAlignment="1">
      <alignment horizontal="center" vertical="center" wrapText="1"/>
    </xf>
    <xf numFmtId="166" fontId="17" fillId="6" borderId="1" xfId="0" applyNumberFormat="1" applyFont="1" applyFill="1" applyBorder="1" applyAlignment="1">
      <alignment horizontal="center" vertical="center" wrapText="1"/>
    </xf>
    <xf numFmtId="166" fontId="7" fillId="6" borderId="1" xfId="0" applyNumberFormat="1" applyFont="1" applyFill="1" applyBorder="1" applyAlignment="1">
      <alignment horizontal="center" vertical="center" wrapText="1"/>
    </xf>
    <xf numFmtId="166" fontId="10" fillId="0" borderId="1" xfId="0" applyNumberFormat="1" applyFont="1" applyFill="1" applyBorder="1" applyAlignment="1">
      <alignment horizontal="center" vertical="center"/>
    </xf>
    <xf numFmtId="166" fontId="9" fillId="2" borderId="1" xfId="0" applyNumberFormat="1" applyFont="1" applyFill="1" applyBorder="1" applyAlignment="1">
      <alignment horizontal="center" vertical="center" wrapText="1"/>
    </xf>
    <xf numFmtId="166" fontId="31" fillId="2" borderId="1" xfId="0" applyNumberFormat="1" applyFont="1" applyFill="1" applyBorder="1" applyAlignment="1">
      <alignment horizontal="center" vertical="center" wrapText="1"/>
    </xf>
    <xf numFmtId="10" fontId="19" fillId="3" borderId="1" xfId="4" applyNumberFormat="1" applyFont="1" applyFill="1" applyBorder="1" applyAlignment="1">
      <alignment horizontal="center" vertical="center" wrapText="1"/>
    </xf>
    <xf numFmtId="10" fontId="19" fillId="0" borderId="1" xfId="4" applyNumberFormat="1" applyFont="1" applyFill="1" applyBorder="1" applyAlignment="1">
      <alignment horizontal="center" vertical="center" wrapText="1"/>
    </xf>
    <xf numFmtId="10" fontId="10" fillId="6" borderId="4" xfId="4" applyNumberFormat="1" applyFont="1" applyFill="1" applyBorder="1" applyAlignment="1">
      <alignment horizontal="center" vertical="center"/>
    </xf>
    <xf numFmtId="0" fontId="21" fillId="2" borderId="6" xfId="0" applyFont="1" applyFill="1" applyBorder="1" applyAlignment="1">
      <alignment horizontal="center" vertical="center"/>
    </xf>
    <xf numFmtId="0" fontId="10" fillId="7" borderId="1" xfId="0" applyFont="1" applyFill="1" applyBorder="1" applyAlignment="1">
      <alignment horizontal="left" vertical="center" wrapText="1"/>
    </xf>
    <xf numFmtId="49" fontId="7" fillId="6" borderId="27" xfId="0" applyNumberFormat="1" applyFont="1" applyFill="1" applyBorder="1" applyAlignment="1">
      <alignment horizontal="left" vertical="center" wrapText="1"/>
    </xf>
    <xf numFmtId="49" fontId="7" fillId="6" borderId="24" xfId="0" applyNumberFormat="1" applyFont="1" applyFill="1" applyBorder="1" applyAlignment="1">
      <alignment horizontal="left" vertical="center" wrapText="1"/>
    </xf>
    <xf numFmtId="49" fontId="7" fillId="6" borderId="26" xfId="0" applyNumberFormat="1" applyFont="1" applyFill="1" applyBorder="1" applyAlignment="1">
      <alignment horizontal="left" vertical="center" wrapText="1"/>
    </xf>
    <xf numFmtId="0" fontId="9" fillId="7" borderId="1" xfId="0" applyFont="1" applyFill="1" applyBorder="1" applyAlignment="1">
      <alignment horizontal="left" vertical="center" wrapText="1"/>
    </xf>
    <xf numFmtId="0" fontId="9" fillId="0" borderId="1" xfId="7" applyFont="1" applyFill="1" applyBorder="1" applyAlignment="1">
      <alignment horizontal="left" vertical="center" wrapText="1"/>
    </xf>
    <xf numFmtId="4" fontId="7" fillId="3" borderId="14" xfId="0" applyNumberFormat="1" applyFont="1" applyFill="1" applyBorder="1" applyAlignment="1">
      <alignment horizontal="center" vertical="center"/>
    </xf>
    <xf numFmtId="0" fontId="6" fillId="6" borderId="11" xfId="0" applyFont="1" applyFill="1" applyBorder="1" applyAlignment="1">
      <alignment horizontal="left" vertical="center"/>
    </xf>
    <xf numFmtId="0" fontId="6" fillId="6" borderId="1" xfId="0" applyFont="1" applyFill="1" applyBorder="1" applyAlignment="1">
      <alignment horizontal="left" vertical="center"/>
    </xf>
    <xf numFmtId="0" fontId="6" fillId="6" borderId="13" xfId="0" applyFont="1" applyFill="1" applyBorder="1" applyAlignment="1">
      <alignment horizontal="left" vertical="center"/>
    </xf>
    <xf numFmtId="0" fontId="6" fillId="6" borderId="14" xfId="0" applyFont="1" applyFill="1" applyBorder="1" applyAlignment="1">
      <alignment horizontal="left" vertical="center"/>
    </xf>
    <xf numFmtId="0" fontId="10" fillId="3" borderId="18"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22" xfId="0" applyFont="1" applyFill="1" applyBorder="1" applyAlignment="1">
      <alignment horizontal="center" vertical="center"/>
    </xf>
    <xf numFmtId="0" fontId="3" fillId="6" borderId="12" xfId="0" applyFont="1" applyFill="1" applyBorder="1" applyAlignment="1">
      <alignment horizontal="center" vertical="center"/>
    </xf>
    <xf numFmtId="0" fontId="3" fillId="6" borderId="15" xfId="0" applyFont="1" applyFill="1" applyBorder="1" applyAlignment="1">
      <alignment horizontal="center" vertical="center"/>
    </xf>
    <xf numFmtId="0" fontId="13" fillId="7" borderId="1" xfId="0" applyNumberFormat="1" applyFont="1" applyFill="1" applyBorder="1" applyAlignment="1">
      <alignment horizontal="left" vertical="center"/>
    </xf>
    <xf numFmtId="0" fontId="22" fillId="7" borderId="1" xfId="0" applyNumberFormat="1" applyFont="1" applyFill="1" applyBorder="1" applyAlignment="1">
      <alignment horizontal="left" vertical="center" wrapText="1"/>
    </xf>
    <xf numFmtId="0" fontId="7" fillId="12" borderId="9" xfId="0" applyFont="1" applyFill="1" applyBorder="1" applyAlignment="1">
      <alignment horizontal="center" vertical="center" wrapText="1"/>
    </xf>
    <xf numFmtId="0" fontId="36" fillId="7" borderId="2" xfId="0" applyNumberFormat="1" applyFont="1"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3" fillId="12" borderId="23" xfId="0" applyFont="1" applyFill="1" applyBorder="1" applyAlignment="1">
      <alignment horizontal="center" vertical="center" wrapText="1"/>
    </xf>
    <xf numFmtId="0" fontId="3" fillId="12" borderId="24" xfId="0" applyFont="1" applyFill="1" applyBorder="1" applyAlignment="1">
      <alignment horizontal="center" vertical="center" wrapText="1"/>
    </xf>
    <xf numFmtId="0" fontId="3" fillId="12" borderId="25" xfId="0" applyFont="1" applyFill="1" applyBorder="1" applyAlignment="1">
      <alignment horizontal="center" vertical="center" wrapText="1"/>
    </xf>
    <xf numFmtId="0" fontId="10" fillId="7" borderId="2" xfId="0" applyFont="1" applyFill="1" applyBorder="1" applyAlignment="1">
      <alignment horizontal="left" vertical="center" wrapText="1"/>
    </xf>
    <xf numFmtId="0" fontId="10" fillId="7" borderId="4"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6" fillId="12" borderId="27" xfId="0" applyFont="1" applyFill="1" applyBorder="1" applyAlignment="1">
      <alignment horizontal="left" vertical="center"/>
    </xf>
    <xf numFmtId="0" fontId="6" fillId="12" borderId="24" xfId="0" applyFont="1" applyFill="1" applyBorder="1" applyAlignment="1">
      <alignment horizontal="left" vertical="center"/>
    </xf>
    <xf numFmtId="0" fontId="6" fillId="12" borderId="26" xfId="0" applyFont="1" applyFill="1" applyBorder="1" applyAlignment="1">
      <alignment horizontal="left" vertical="center"/>
    </xf>
    <xf numFmtId="0" fontId="0" fillId="6" borderId="23" xfId="0" applyFill="1" applyBorder="1" applyAlignment="1">
      <alignment horizontal="center"/>
    </xf>
    <xf numFmtId="0" fontId="0" fillId="6" borderId="24" xfId="0" applyFill="1" applyBorder="1" applyAlignment="1">
      <alignment horizontal="center"/>
    </xf>
    <xf numFmtId="0" fontId="0" fillId="6" borderId="25" xfId="0" applyFill="1" applyBorder="1" applyAlignment="1">
      <alignment horizontal="center"/>
    </xf>
    <xf numFmtId="0" fontId="6" fillId="6" borderId="27" xfId="0" applyFont="1" applyFill="1" applyBorder="1" applyAlignment="1">
      <alignment horizontal="left" vertical="center"/>
    </xf>
    <xf numFmtId="0" fontId="6" fillId="6" borderId="24" xfId="0" applyFont="1" applyFill="1" applyBorder="1" applyAlignment="1">
      <alignment horizontal="left" vertical="center"/>
    </xf>
    <xf numFmtId="0" fontId="30" fillId="2" borderId="11" xfId="0" quotePrefix="1" applyFont="1" applyFill="1" applyBorder="1" applyAlignment="1">
      <alignment horizontal="center" vertical="center" wrapText="1"/>
    </xf>
    <xf numFmtId="0" fontId="31" fillId="2" borderId="1" xfId="0" applyFont="1" applyFill="1" applyBorder="1" applyAlignment="1">
      <alignment horizontal="left" vertical="center" wrapText="1"/>
    </xf>
    <xf numFmtId="165" fontId="31" fillId="2" borderId="2" xfId="0" applyNumberFormat="1" applyFont="1" applyFill="1" applyBorder="1" applyAlignment="1">
      <alignment horizontal="left" vertical="center" wrapText="1"/>
    </xf>
    <xf numFmtId="165" fontId="31" fillId="2" borderId="20" xfId="0" applyNumberFormat="1" applyFont="1" applyFill="1" applyBorder="1" applyAlignment="1">
      <alignment horizontal="left" vertical="center" wrapText="1"/>
    </xf>
  </cellXfs>
  <cellStyles count="10">
    <cellStyle name="Comma" xfId="1" builtinId="3"/>
    <cellStyle name="Comma 2" xfId="8"/>
    <cellStyle name="Comma 2 2" xfId="9"/>
    <cellStyle name="Good" xfId="7" builtinId="26"/>
    <cellStyle name="Normal" xfId="0" builtinId="0"/>
    <cellStyle name="Normal - Style1" xfId="6"/>
    <cellStyle name="Normal 2" xfId="5"/>
    <cellStyle name="Normal 2 10" xfId="2"/>
    <cellStyle name="Normal 53" xfId="3"/>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485775</xdr:colOff>
      <xdr:row>0</xdr:row>
      <xdr:rowOff>333376</xdr:rowOff>
    </xdr:from>
    <xdr:to>
      <xdr:col>11</xdr:col>
      <xdr:colOff>108585</xdr:colOff>
      <xdr:row>18</xdr:row>
      <xdr:rowOff>504826</xdr:rowOff>
    </xdr:to>
    <xdr:grpSp>
      <xdr:nvGrpSpPr>
        <xdr:cNvPr id="2" name="Group 1"/>
        <xdr:cNvGrpSpPr/>
      </xdr:nvGrpSpPr>
      <xdr:grpSpPr>
        <a:xfrm>
          <a:off x="8334375" y="333376"/>
          <a:ext cx="3934460" cy="3702050"/>
          <a:chOff x="8667750" y="352425"/>
          <a:chExt cx="3756660" cy="3457575"/>
        </a:xfrm>
      </xdr:grpSpPr>
      <xdr:sp macro="" textlink="">
        <xdr:nvSpPr>
          <xdr:cNvPr id="4" name="TextBox 3"/>
          <xdr:cNvSpPr txBox="1"/>
        </xdr:nvSpPr>
        <xdr:spPr>
          <a:xfrm>
            <a:off x="8667750" y="352425"/>
            <a:ext cx="3756660" cy="345757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Offer Summary Instructions:</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p>
          <a:p>
            <a:pPr eaLnBrk="1" fontAlgn="auto" latinLnBrk="0" hangingPunct="1"/>
            <a:endParaRPr lang="en-US">
              <a:effectLst/>
            </a:endParaRPr>
          </a:p>
          <a:p>
            <a:r>
              <a:rPr lang="en-US" sz="1100" i="1" baseline="0">
                <a:solidFill>
                  <a:schemeClr val="tx1"/>
                </a:solidFill>
                <a:effectLst/>
                <a:latin typeface="+mn-lt"/>
                <a:ea typeface="+mn-ea"/>
                <a:cs typeface="+mn-cs"/>
              </a:rPr>
              <a:t>Note </a:t>
            </a:r>
            <a:r>
              <a:rPr lang="pl-PL" sz="1100" i="1" baseline="0">
                <a:solidFill>
                  <a:schemeClr val="tx1"/>
                </a:solidFill>
                <a:effectLst/>
                <a:latin typeface="+mn-lt"/>
                <a:ea typeface="+mn-ea"/>
                <a:cs typeface="+mn-cs"/>
              </a:rPr>
              <a:t>that </a:t>
            </a:r>
            <a:r>
              <a:rPr lang="en-US" sz="1100" i="1" baseline="0">
                <a:solidFill>
                  <a:schemeClr val="tx1"/>
                </a:solidFill>
                <a:effectLst/>
                <a:latin typeface="+mn-lt"/>
                <a:ea typeface="+mn-ea"/>
                <a:cs typeface="+mn-cs"/>
              </a:rPr>
              <a:t>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For multiple currencies, duplicate the "Firm Fixed Price" column for each currency. Example for multiple currencies: </a:t>
            </a: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a:effectLst/>
            </a:endParaRPr>
          </a:p>
        </xdr:txBody>
      </xdr:sp>
      <xdr:pic>
        <xdr:nvPicPr>
          <xdr:cNvPr id="3" name="Picture 2"/>
          <xdr:cNvPicPr>
            <a:picLocks noChangeAspect="1"/>
          </xdr:cNvPicPr>
        </xdr:nvPicPr>
        <xdr:blipFill>
          <a:blip xmlns:r="http://schemas.openxmlformats.org/officeDocument/2006/relationships" r:embed="rId1"/>
          <a:stretch>
            <a:fillRect/>
          </a:stretch>
        </xdr:blipFill>
        <xdr:spPr>
          <a:xfrm>
            <a:off x="8772525" y="2504757"/>
            <a:ext cx="3533775" cy="1047750"/>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E19"/>
  <sheetViews>
    <sheetView topLeftCell="A4" zoomScaleNormal="100" workbookViewId="0">
      <selection activeCell="C22" sqref="C22"/>
    </sheetView>
  </sheetViews>
  <sheetFormatPr defaultColWidth="8.81640625" defaultRowHeight="14.5" x14ac:dyDescent="0.35"/>
  <cols>
    <col min="1" max="1" width="1.7265625" style="30" customWidth="1"/>
    <col min="2" max="2" width="15" style="30" customWidth="1"/>
    <col min="3" max="3" width="76.1796875" style="30" customWidth="1"/>
    <col min="4" max="4" width="19.453125" style="30" customWidth="1"/>
    <col min="5" max="16384" width="8.81640625" style="30"/>
  </cols>
  <sheetData>
    <row r="1" spans="2:5" ht="28" customHeight="1" x14ac:dyDescent="0.35">
      <c r="B1" s="185" t="s">
        <v>0</v>
      </c>
      <c r="C1" s="185"/>
      <c r="D1" s="185"/>
      <c r="E1" s="54"/>
    </row>
    <row r="2" spans="2:5" ht="32.25" customHeight="1" x14ac:dyDescent="0.35">
      <c r="B2" s="31" t="s">
        <v>1</v>
      </c>
      <c r="C2" s="31" t="s">
        <v>2</v>
      </c>
      <c r="D2" s="31" t="s">
        <v>3</v>
      </c>
    </row>
    <row r="3" spans="2:5" ht="15.5" x14ac:dyDescent="0.35">
      <c r="B3" s="32"/>
      <c r="C3" s="33" t="s">
        <v>4</v>
      </c>
      <c r="D3" s="55"/>
    </row>
    <row r="4" spans="2:5" ht="15" thickBot="1" x14ac:dyDescent="0.4">
      <c r="B4" s="34"/>
      <c r="C4" s="35"/>
    </row>
    <row r="5" spans="2:5" ht="19" thickBot="1" x14ac:dyDescent="0.4">
      <c r="B5" s="36" t="s">
        <v>5</v>
      </c>
      <c r="C5" s="37"/>
      <c r="D5" s="38">
        <f>SUBTOTAL(9,D7:D17)</f>
        <v>60000000</v>
      </c>
    </row>
    <row r="6" spans="2:5" ht="6.75" customHeight="1" thickBot="1" x14ac:dyDescent="0.4">
      <c r="B6" s="39"/>
      <c r="C6" s="40"/>
      <c r="D6" s="41"/>
    </row>
    <row r="7" spans="2:5" x14ac:dyDescent="0.35">
      <c r="B7" s="42" t="s">
        <v>6</v>
      </c>
      <c r="C7" s="43" t="s">
        <v>212</v>
      </c>
      <c r="D7" s="52">
        <f>'CLIN 1-DELL GPL'!F17</f>
        <v>32800000</v>
      </c>
    </row>
    <row r="8" spans="2:5" x14ac:dyDescent="0.35">
      <c r="B8" s="44" t="s">
        <v>208</v>
      </c>
      <c r="C8" s="45" t="s">
        <v>213</v>
      </c>
      <c r="D8" s="53">
        <f>'CLIN 2-HP GPL'!F20</f>
        <v>24500000</v>
      </c>
      <c r="E8" s="136"/>
    </row>
    <row r="9" spans="2:5" x14ac:dyDescent="0.35">
      <c r="B9" s="44" t="s">
        <v>7</v>
      </c>
      <c r="C9" s="45" t="s">
        <v>218</v>
      </c>
      <c r="D9" s="53">
        <f>'CLIN 3-Engineering Services'!F30</f>
        <v>0</v>
      </c>
    </row>
    <row r="10" spans="2:5" x14ac:dyDescent="0.35">
      <c r="B10" s="44" t="s">
        <v>209</v>
      </c>
      <c r="C10" s="45" t="s">
        <v>219</v>
      </c>
      <c r="D10" s="53">
        <f>'CLIN 4-PHS&amp;T'!G7</f>
        <v>0</v>
      </c>
    </row>
    <row r="11" spans="2:5" x14ac:dyDescent="0.35">
      <c r="B11" s="156" t="s">
        <v>210</v>
      </c>
      <c r="C11" s="157" t="s">
        <v>214</v>
      </c>
      <c r="D11" s="152"/>
    </row>
    <row r="12" spans="2:5" x14ac:dyDescent="0.35">
      <c r="B12" s="44" t="s">
        <v>211</v>
      </c>
      <c r="C12" s="45" t="s">
        <v>215</v>
      </c>
      <c r="D12" s="53">
        <f>'CLIN 6-DELL Tempesting'!H54</f>
        <v>0</v>
      </c>
    </row>
    <row r="13" spans="2:5" x14ac:dyDescent="0.35">
      <c r="B13" s="44" t="s">
        <v>216</v>
      </c>
      <c r="C13" s="45" t="s">
        <v>220</v>
      </c>
      <c r="D13" s="53">
        <f>'CLIN 7-HP Tempesting'!H55</f>
        <v>0</v>
      </c>
    </row>
    <row r="14" spans="2:5" x14ac:dyDescent="0.35">
      <c r="B14" s="44" t="s">
        <v>217</v>
      </c>
      <c r="C14" s="45" t="s">
        <v>361</v>
      </c>
      <c r="D14" s="53">
        <f>'CLIN 8-KVM Switches Tempesting'!H14</f>
        <v>0</v>
      </c>
    </row>
    <row r="15" spans="2:5" x14ac:dyDescent="0.35">
      <c r="B15" s="44" t="s">
        <v>358</v>
      </c>
      <c r="C15" s="45" t="s">
        <v>359</v>
      </c>
      <c r="D15" s="53">
        <f>'CLIN 9-KVM Switches'!F4</f>
        <v>2700000</v>
      </c>
    </row>
    <row r="16" spans="2:5" ht="2.15" customHeight="1" x14ac:dyDescent="0.35">
      <c r="B16" s="46"/>
      <c r="C16" s="47"/>
      <c r="D16" s="48"/>
    </row>
    <row r="17" spans="2:4" ht="15" thickBot="1" x14ac:dyDescent="0.4">
      <c r="B17" s="49" t="s">
        <v>8</v>
      </c>
      <c r="C17" s="50"/>
      <c r="D17" s="51">
        <f>SUBTOTAL(9,D7:D16)</f>
        <v>60000000</v>
      </c>
    </row>
    <row r="19" spans="2:4" ht="74.25" customHeight="1" x14ac:dyDescent="0.35">
      <c r="B19" s="186" t="s">
        <v>392</v>
      </c>
      <c r="C19" s="186"/>
      <c r="D19" s="186"/>
    </row>
  </sheetData>
  <mergeCells count="2">
    <mergeCell ref="B1:D1"/>
    <mergeCell ref="B19:D19"/>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'currencies list'!$A$2:$A$20</xm:f>
          </x14:formula1>
          <xm:sqref>D3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C25" sqref="C25"/>
    </sheetView>
  </sheetViews>
  <sheetFormatPr defaultRowHeight="14.5" x14ac:dyDescent="0.35"/>
  <cols>
    <col min="1" max="1" width="30.54296875" bestFit="1" customWidth="1"/>
  </cols>
  <sheetData>
    <row r="1" spans="1:1" x14ac:dyDescent="0.35">
      <c r="A1" s="24" t="s">
        <v>118</v>
      </c>
    </row>
    <row r="2" spans="1:1" x14ac:dyDescent="0.35">
      <c r="A2" s="23" t="s">
        <v>119</v>
      </c>
    </row>
    <row r="3" spans="1:1" x14ac:dyDescent="0.35">
      <c r="A3" s="23" t="s">
        <v>120</v>
      </c>
    </row>
    <row r="4" spans="1:1" x14ac:dyDescent="0.35">
      <c r="A4" s="23" t="s">
        <v>121</v>
      </c>
    </row>
    <row r="5" spans="1:1" x14ac:dyDescent="0.35">
      <c r="A5" s="23" t="s">
        <v>122</v>
      </c>
    </row>
    <row r="6" spans="1:1" x14ac:dyDescent="0.35">
      <c r="A6" s="23" t="s">
        <v>123</v>
      </c>
    </row>
    <row r="7" spans="1:1" x14ac:dyDescent="0.35">
      <c r="A7" s="23" t="s">
        <v>124</v>
      </c>
    </row>
    <row r="8" spans="1:1" x14ac:dyDescent="0.35">
      <c r="A8" s="23" t="s">
        <v>125</v>
      </c>
    </row>
    <row r="9" spans="1:1" x14ac:dyDescent="0.35">
      <c r="A9" s="23" t="s">
        <v>126</v>
      </c>
    </row>
    <row r="10" spans="1:1" x14ac:dyDescent="0.35">
      <c r="A10" s="23" t="s">
        <v>127</v>
      </c>
    </row>
    <row r="11" spans="1:1" x14ac:dyDescent="0.35">
      <c r="A11" s="23" t="s">
        <v>128</v>
      </c>
    </row>
    <row r="12" spans="1:1" x14ac:dyDescent="0.35">
      <c r="A12" s="23" t="s">
        <v>129</v>
      </c>
    </row>
    <row r="13" spans="1:1" x14ac:dyDescent="0.35">
      <c r="A13" s="23" t="s">
        <v>130</v>
      </c>
    </row>
    <row r="14" spans="1:1" x14ac:dyDescent="0.35">
      <c r="A14" s="23" t="s">
        <v>131</v>
      </c>
    </row>
    <row r="15" spans="1:1" x14ac:dyDescent="0.35">
      <c r="A15" s="23" t="s">
        <v>132</v>
      </c>
    </row>
    <row r="16" spans="1:1" x14ac:dyDescent="0.35">
      <c r="A16" s="23" t="s">
        <v>133</v>
      </c>
    </row>
    <row r="17" spans="1:1" x14ac:dyDescent="0.35">
      <c r="A17" s="23" t="s">
        <v>134</v>
      </c>
    </row>
    <row r="18" spans="1:1" x14ac:dyDescent="0.35">
      <c r="A18" s="23" t="s">
        <v>135</v>
      </c>
    </row>
    <row r="19" spans="1:1" x14ac:dyDescent="0.35">
      <c r="A19" s="23" t="s">
        <v>136</v>
      </c>
    </row>
    <row r="20" spans="1:1" x14ac:dyDescent="0.35">
      <c r="A20" s="23" t="s">
        <v>137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2"/>
  <sheetViews>
    <sheetView zoomScale="80" zoomScaleNormal="80" workbookViewId="0">
      <selection activeCell="G27" sqref="G27"/>
    </sheetView>
  </sheetViews>
  <sheetFormatPr defaultRowHeight="14.5" x14ac:dyDescent="0.35"/>
  <cols>
    <col min="1" max="1" width="2.1796875" customWidth="1"/>
    <col min="2" max="2" width="12.81640625" customWidth="1"/>
    <col min="3" max="3" width="66" customWidth="1"/>
    <col min="4" max="4" width="21.7265625" customWidth="1"/>
    <col min="5" max="5" width="14.26953125" customWidth="1"/>
    <col min="6" max="6" width="21.1796875" customWidth="1"/>
    <col min="7" max="7" width="50.453125" customWidth="1"/>
    <col min="10" max="10" width="16.7265625" bestFit="1" customWidth="1"/>
  </cols>
  <sheetData>
    <row r="1" spans="2:7" ht="15" thickBot="1" x14ac:dyDescent="0.4"/>
    <row r="2" spans="2:7" ht="110.5" customHeight="1" x14ac:dyDescent="0.35">
      <c r="B2" s="105" t="s">
        <v>245</v>
      </c>
      <c r="C2" s="106" t="s">
        <v>9</v>
      </c>
      <c r="D2" s="106" t="s">
        <v>10</v>
      </c>
      <c r="E2" s="106" t="s">
        <v>11</v>
      </c>
      <c r="F2" s="106" t="s">
        <v>230</v>
      </c>
      <c r="G2" s="107" t="s">
        <v>12</v>
      </c>
    </row>
    <row r="3" spans="2:7" ht="15.5" x14ac:dyDescent="0.35">
      <c r="B3" s="108" t="s">
        <v>13</v>
      </c>
      <c r="C3" s="2" t="s">
        <v>138</v>
      </c>
      <c r="D3" s="14">
        <v>7000000</v>
      </c>
      <c r="E3" s="3">
        <v>0</v>
      </c>
      <c r="F3" s="29">
        <f>D3*(1-E3)</f>
        <v>7000000</v>
      </c>
      <c r="G3" s="109"/>
    </row>
    <row r="4" spans="2:7" ht="15.5" x14ac:dyDescent="0.35">
      <c r="B4" s="108" t="s">
        <v>14</v>
      </c>
      <c r="C4" s="2" t="s">
        <v>139</v>
      </c>
      <c r="D4" s="14">
        <v>10000000</v>
      </c>
      <c r="E4" s="3">
        <v>0</v>
      </c>
      <c r="F4" s="29">
        <f>D4*(1-E4)</f>
        <v>10000000</v>
      </c>
      <c r="G4" s="109"/>
    </row>
    <row r="5" spans="2:7" ht="15.5" x14ac:dyDescent="0.35">
      <c r="B5" s="108" t="s">
        <v>15</v>
      </c>
      <c r="C5" s="2" t="s">
        <v>140</v>
      </c>
      <c r="D5" s="14">
        <v>700000</v>
      </c>
      <c r="E5" s="3">
        <v>0</v>
      </c>
      <c r="F5" s="29">
        <f>D5*(1-E5)</f>
        <v>700000</v>
      </c>
      <c r="G5" s="109"/>
    </row>
    <row r="6" spans="2:7" ht="15.5" x14ac:dyDescent="0.35">
      <c r="B6" s="108" t="s">
        <v>16</v>
      </c>
      <c r="C6" s="2" t="s">
        <v>145</v>
      </c>
      <c r="D6" s="14">
        <v>4200000</v>
      </c>
      <c r="E6" s="3">
        <v>0</v>
      </c>
      <c r="F6" s="29">
        <f>D6*(1-E6)</f>
        <v>4200000</v>
      </c>
      <c r="G6" s="109"/>
    </row>
    <row r="7" spans="2:7" ht="15.5" x14ac:dyDescent="0.35">
      <c r="B7" s="108" t="s">
        <v>17</v>
      </c>
      <c r="C7" s="2" t="s">
        <v>141</v>
      </c>
      <c r="D7" s="14">
        <v>900000</v>
      </c>
      <c r="E7" s="3">
        <v>0</v>
      </c>
      <c r="F7" s="29">
        <f>D7*(1-E7)</f>
        <v>900000</v>
      </c>
      <c r="G7" s="109"/>
    </row>
    <row r="8" spans="2:7" ht="15.5" x14ac:dyDescent="0.35">
      <c r="B8" s="108" t="s">
        <v>18</v>
      </c>
      <c r="C8" s="2" t="s">
        <v>142</v>
      </c>
      <c r="D8" s="14">
        <v>6500000</v>
      </c>
      <c r="E8" s="3">
        <v>0</v>
      </c>
      <c r="F8" s="29">
        <f t="shared" ref="F8" si="0">D8*(1-E8)</f>
        <v>6500000</v>
      </c>
      <c r="G8" s="109"/>
    </row>
    <row r="9" spans="2:7" ht="15.5" x14ac:dyDescent="0.35">
      <c r="B9" s="110"/>
      <c r="C9" s="57" t="s">
        <v>143</v>
      </c>
      <c r="D9" s="67"/>
      <c r="E9" s="68"/>
      <c r="F9" s="69"/>
      <c r="G9" s="111"/>
    </row>
    <row r="10" spans="2:7" ht="15.5" x14ac:dyDescent="0.35">
      <c r="B10" s="108" t="s">
        <v>19</v>
      </c>
      <c r="C10" s="2" t="s">
        <v>148</v>
      </c>
      <c r="D10" s="14">
        <v>800000</v>
      </c>
      <c r="E10" s="3">
        <v>0</v>
      </c>
      <c r="F10" s="29">
        <f>D10*(1-E10)</f>
        <v>800000</v>
      </c>
      <c r="G10" s="109"/>
    </row>
    <row r="11" spans="2:7" ht="15.5" x14ac:dyDescent="0.35">
      <c r="B11" s="108" t="s">
        <v>20</v>
      </c>
      <c r="C11" s="2" t="s">
        <v>151</v>
      </c>
      <c r="D11" s="14">
        <v>50000</v>
      </c>
      <c r="E11" s="3">
        <v>0</v>
      </c>
      <c r="F11" s="29">
        <f t="shared" ref="F11:F16" si="1">D11*(1-E11)</f>
        <v>50000</v>
      </c>
      <c r="G11" s="109"/>
    </row>
    <row r="12" spans="2:7" ht="15.5" x14ac:dyDescent="0.35">
      <c r="B12" s="108" t="s">
        <v>21</v>
      </c>
      <c r="C12" s="2" t="s">
        <v>152</v>
      </c>
      <c r="D12" s="14">
        <v>50000</v>
      </c>
      <c r="E12" s="3">
        <v>0</v>
      </c>
      <c r="F12" s="29">
        <f t="shared" si="1"/>
        <v>50000</v>
      </c>
      <c r="G12" s="109"/>
    </row>
    <row r="13" spans="2:7" ht="15.5" x14ac:dyDescent="0.35">
      <c r="B13" s="108" t="s">
        <v>22</v>
      </c>
      <c r="C13" s="2" t="s">
        <v>149</v>
      </c>
      <c r="D13" s="14">
        <v>50000</v>
      </c>
      <c r="E13" s="3">
        <v>0</v>
      </c>
      <c r="F13" s="29">
        <f t="shared" si="1"/>
        <v>50000</v>
      </c>
      <c r="G13" s="109"/>
    </row>
    <row r="14" spans="2:7" ht="15.5" x14ac:dyDescent="0.35">
      <c r="B14" s="108" t="s">
        <v>23</v>
      </c>
      <c r="C14" s="2" t="s">
        <v>144</v>
      </c>
      <c r="D14" s="14">
        <v>1500000</v>
      </c>
      <c r="E14" s="3">
        <v>0</v>
      </c>
      <c r="F14" s="29">
        <f t="shared" si="1"/>
        <v>1500000</v>
      </c>
      <c r="G14" s="109"/>
    </row>
    <row r="15" spans="2:7" ht="15.5" x14ac:dyDescent="0.35">
      <c r="B15" s="108" t="s">
        <v>24</v>
      </c>
      <c r="C15" s="2" t="s">
        <v>153</v>
      </c>
      <c r="D15" s="14">
        <v>1000000</v>
      </c>
      <c r="E15" s="3">
        <v>0</v>
      </c>
      <c r="F15" s="29">
        <f t="shared" si="1"/>
        <v>1000000</v>
      </c>
      <c r="G15" s="109"/>
    </row>
    <row r="16" spans="2:7" ht="15.5" x14ac:dyDescent="0.35">
      <c r="B16" s="108" t="s">
        <v>25</v>
      </c>
      <c r="C16" s="2" t="s">
        <v>150</v>
      </c>
      <c r="D16" s="14">
        <v>50000</v>
      </c>
      <c r="E16" s="3">
        <v>0</v>
      </c>
      <c r="F16" s="29">
        <f t="shared" si="1"/>
        <v>50000</v>
      </c>
      <c r="G16" s="109"/>
    </row>
    <row r="17" spans="2:8" ht="32.25" customHeight="1" thickBot="1" x14ac:dyDescent="0.4">
      <c r="B17" s="187" t="s">
        <v>229</v>
      </c>
      <c r="C17" s="188"/>
      <c r="D17" s="188"/>
      <c r="E17" s="189"/>
      <c r="F17" s="112">
        <f>SUM(F3:F16)</f>
        <v>32800000</v>
      </c>
      <c r="G17" s="114"/>
    </row>
    <row r="18" spans="2:8" ht="15.5" x14ac:dyDescent="0.35">
      <c r="B18" s="10"/>
      <c r="C18" s="11"/>
      <c r="D18" s="12"/>
      <c r="E18" s="12"/>
      <c r="F18" s="1"/>
      <c r="G18" s="1"/>
      <c r="H18" s="1"/>
    </row>
    <row r="19" spans="2:8" ht="56.25" customHeight="1" x14ac:dyDescent="0.35">
      <c r="B19" s="186" t="s">
        <v>352</v>
      </c>
      <c r="C19" s="186"/>
      <c r="D19" s="186"/>
      <c r="E19" s="186"/>
      <c r="F19" s="186"/>
      <c r="G19" s="186"/>
    </row>
    <row r="20" spans="2:8" x14ac:dyDescent="0.35">
      <c r="G20" s="13"/>
    </row>
    <row r="40" ht="15.65" customHeight="1" x14ac:dyDescent="0.35"/>
    <row r="41" ht="18.649999999999999" customHeight="1" x14ac:dyDescent="0.35"/>
    <row r="42" ht="14.15" customHeight="1" x14ac:dyDescent="0.35"/>
  </sheetData>
  <mergeCells count="2">
    <mergeCell ref="B17:E17"/>
    <mergeCell ref="B19:G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zoomScale="80" zoomScaleNormal="80" workbookViewId="0">
      <selection activeCell="F30" sqref="F30"/>
    </sheetView>
  </sheetViews>
  <sheetFormatPr defaultRowHeight="14.5" x14ac:dyDescent="0.35"/>
  <cols>
    <col min="1" max="1" width="2.1796875" customWidth="1"/>
    <col min="2" max="2" width="12.54296875" customWidth="1"/>
    <col min="3" max="3" width="39.26953125" customWidth="1"/>
    <col min="4" max="4" width="26" customWidth="1"/>
    <col min="5" max="5" width="15.81640625" customWidth="1"/>
    <col min="6" max="6" width="22.453125" customWidth="1"/>
    <col min="7" max="7" width="32.7265625" customWidth="1"/>
    <col min="10" max="10" width="21.26953125" customWidth="1"/>
  </cols>
  <sheetData>
    <row r="1" spans="2:7" ht="15" thickBot="1" x14ac:dyDescent="0.4"/>
    <row r="2" spans="2:7" ht="89.25" customHeight="1" x14ac:dyDescent="0.35">
      <c r="B2" s="105" t="s">
        <v>246</v>
      </c>
      <c r="C2" s="106" t="s">
        <v>9</v>
      </c>
      <c r="D2" s="106" t="s">
        <v>10</v>
      </c>
      <c r="E2" s="106" t="s">
        <v>11</v>
      </c>
      <c r="F2" s="106" t="s">
        <v>230</v>
      </c>
      <c r="G2" s="107" t="s">
        <v>12</v>
      </c>
    </row>
    <row r="3" spans="2:7" ht="15.5" x14ac:dyDescent="0.35">
      <c r="B3" s="108" t="s">
        <v>26</v>
      </c>
      <c r="C3" s="2" t="s">
        <v>377</v>
      </c>
      <c r="D3" s="14">
        <v>6200000</v>
      </c>
      <c r="E3" s="3">
        <v>0</v>
      </c>
      <c r="F3" s="29">
        <f>D3*(1-E3)</f>
        <v>6200000</v>
      </c>
      <c r="G3" s="109"/>
    </row>
    <row r="4" spans="2:7" ht="15.5" x14ac:dyDescent="0.35">
      <c r="B4" s="108" t="s">
        <v>54</v>
      </c>
      <c r="C4" s="2" t="s">
        <v>378</v>
      </c>
      <c r="D4" s="14">
        <v>5400000</v>
      </c>
      <c r="E4" s="3">
        <v>0</v>
      </c>
      <c r="F4" s="29">
        <f>D4*(1-E4)</f>
        <v>5400000</v>
      </c>
      <c r="G4" s="109"/>
    </row>
    <row r="5" spans="2:7" ht="15.5" x14ac:dyDescent="0.35">
      <c r="B5" s="108" t="s">
        <v>63</v>
      </c>
      <c r="C5" s="2" t="s">
        <v>367</v>
      </c>
      <c r="D5" s="14">
        <v>550000</v>
      </c>
      <c r="E5" s="3">
        <v>0</v>
      </c>
      <c r="F5" s="29">
        <f t="shared" ref="F5:F11" si="0">D5*(1-E5)</f>
        <v>550000</v>
      </c>
      <c r="G5" s="109"/>
    </row>
    <row r="6" spans="2:7" ht="15.5" x14ac:dyDescent="0.35">
      <c r="B6" s="108" t="s">
        <v>231</v>
      </c>
      <c r="C6" s="2" t="s">
        <v>380</v>
      </c>
      <c r="D6" s="14">
        <v>550000</v>
      </c>
      <c r="E6" s="3">
        <v>0</v>
      </c>
      <c r="F6" s="29">
        <f t="shared" si="0"/>
        <v>550000</v>
      </c>
      <c r="G6" s="109"/>
    </row>
    <row r="7" spans="2:7" ht="15.5" x14ac:dyDescent="0.35">
      <c r="B7" s="108" t="s">
        <v>232</v>
      </c>
      <c r="C7" s="2" t="s">
        <v>368</v>
      </c>
      <c r="D7" s="14">
        <v>1600000</v>
      </c>
      <c r="E7" s="3">
        <v>0</v>
      </c>
      <c r="F7" s="29">
        <f t="shared" si="0"/>
        <v>1600000</v>
      </c>
      <c r="G7" s="109"/>
    </row>
    <row r="8" spans="2:7" ht="15.5" x14ac:dyDescent="0.35">
      <c r="B8" s="108" t="s">
        <v>233</v>
      </c>
      <c r="C8" s="2" t="s">
        <v>147</v>
      </c>
      <c r="D8" s="14">
        <v>2500000</v>
      </c>
      <c r="E8" s="3">
        <v>0</v>
      </c>
      <c r="F8" s="29">
        <f t="shared" si="0"/>
        <v>2500000</v>
      </c>
      <c r="G8" s="109"/>
    </row>
    <row r="9" spans="2:7" ht="15.5" x14ac:dyDescent="0.35">
      <c r="B9" s="108" t="s">
        <v>234</v>
      </c>
      <c r="C9" s="2" t="s">
        <v>379</v>
      </c>
      <c r="D9" s="14">
        <v>200000</v>
      </c>
      <c r="E9" s="3">
        <v>0</v>
      </c>
      <c r="F9" s="29">
        <f t="shared" si="0"/>
        <v>200000</v>
      </c>
      <c r="G9" s="109"/>
    </row>
    <row r="10" spans="2:7" ht="15.5" x14ac:dyDescent="0.35">
      <c r="B10" s="108" t="s">
        <v>235</v>
      </c>
      <c r="C10" s="2" t="s">
        <v>369</v>
      </c>
      <c r="D10" s="14">
        <v>250000</v>
      </c>
      <c r="E10" s="3">
        <v>0</v>
      </c>
      <c r="F10" s="29">
        <f t="shared" si="0"/>
        <v>250000</v>
      </c>
      <c r="G10" s="109"/>
    </row>
    <row r="11" spans="2:7" ht="15.5" x14ac:dyDescent="0.35">
      <c r="B11" s="108" t="s">
        <v>236</v>
      </c>
      <c r="C11" s="2" t="s">
        <v>370</v>
      </c>
      <c r="D11" s="14">
        <v>250000</v>
      </c>
      <c r="E11" s="3">
        <v>0</v>
      </c>
      <c r="F11" s="29">
        <f t="shared" si="0"/>
        <v>250000</v>
      </c>
      <c r="G11" s="109"/>
    </row>
    <row r="12" spans="2:7" ht="15.5" x14ac:dyDescent="0.35">
      <c r="B12" s="108" t="s">
        <v>237</v>
      </c>
      <c r="C12" s="2" t="s">
        <v>144</v>
      </c>
      <c r="D12" s="14">
        <v>1500000</v>
      </c>
      <c r="E12" s="3">
        <v>0</v>
      </c>
      <c r="F12" s="29">
        <f t="shared" ref="F12:F19" si="1">D12*(1-E12)</f>
        <v>1500000</v>
      </c>
      <c r="G12" s="109"/>
    </row>
    <row r="13" spans="2:7" ht="15.5" x14ac:dyDescent="0.35">
      <c r="B13" s="110"/>
      <c r="C13" s="57" t="s">
        <v>146</v>
      </c>
      <c r="D13" s="67"/>
      <c r="E13" s="68"/>
      <c r="F13" s="69"/>
      <c r="G13" s="111"/>
    </row>
    <row r="14" spans="2:7" ht="15.5" x14ac:dyDescent="0.35">
      <c r="B14" s="108" t="s">
        <v>238</v>
      </c>
      <c r="C14" s="2" t="s">
        <v>371</v>
      </c>
      <c r="D14" s="14">
        <v>2000000</v>
      </c>
      <c r="E14" s="3">
        <v>0</v>
      </c>
      <c r="F14" s="29">
        <f t="shared" si="1"/>
        <v>2000000</v>
      </c>
      <c r="G14" s="109"/>
    </row>
    <row r="15" spans="2:7" ht="15.5" x14ac:dyDescent="0.35">
      <c r="B15" s="108" t="s">
        <v>239</v>
      </c>
      <c r="C15" s="2" t="s">
        <v>372</v>
      </c>
      <c r="D15" s="14">
        <v>2250000</v>
      </c>
      <c r="E15" s="3">
        <v>0</v>
      </c>
      <c r="F15" s="29">
        <f t="shared" si="1"/>
        <v>2250000</v>
      </c>
      <c r="G15" s="109"/>
    </row>
    <row r="16" spans="2:7" ht="15.5" x14ac:dyDescent="0.35">
      <c r="B16" s="108" t="s">
        <v>240</v>
      </c>
      <c r="C16" s="2" t="s">
        <v>373</v>
      </c>
      <c r="D16" s="14">
        <v>600000</v>
      </c>
      <c r="E16" s="3">
        <v>0</v>
      </c>
      <c r="F16" s="29">
        <f t="shared" si="1"/>
        <v>600000</v>
      </c>
      <c r="G16" s="109"/>
    </row>
    <row r="17" spans="2:7" ht="15.5" x14ac:dyDescent="0.35">
      <c r="B17" s="108" t="s">
        <v>241</v>
      </c>
      <c r="C17" s="2" t="s">
        <v>374</v>
      </c>
      <c r="D17" s="14">
        <v>200000</v>
      </c>
      <c r="E17" s="3">
        <v>0</v>
      </c>
      <c r="F17" s="29">
        <f t="shared" si="1"/>
        <v>200000</v>
      </c>
      <c r="G17" s="109"/>
    </row>
    <row r="18" spans="2:7" ht="15.5" x14ac:dyDescent="0.35">
      <c r="B18" s="108" t="s">
        <v>242</v>
      </c>
      <c r="C18" s="2" t="s">
        <v>375</v>
      </c>
      <c r="D18" s="14">
        <v>250000</v>
      </c>
      <c r="E18" s="3">
        <v>0</v>
      </c>
      <c r="F18" s="29">
        <f t="shared" si="1"/>
        <v>250000</v>
      </c>
      <c r="G18" s="109"/>
    </row>
    <row r="19" spans="2:7" ht="15.5" x14ac:dyDescent="0.35">
      <c r="B19" s="108" t="s">
        <v>243</v>
      </c>
      <c r="C19" s="2" t="s">
        <v>376</v>
      </c>
      <c r="D19" s="14">
        <v>200000</v>
      </c>
      <c r="E19" s="3">
        <v>0</v>
      </c>
      <c r="F19" s="29">
        <f t="shared" si="1"/>
        <v>200000</v>
      </c>
      <c r="G19" s="109"/>
    </row>
    <row r="20" spans="2:7" ht="32.25" customHeight="1" thickBot="1" x14ac:dyDescent="0.4">
      <c r="B20" s="187" t="s">
        <v>244</v>
      </c>
      <c r="C20" s="188"/>
      <c r="D20" s="188"/>
      <c r="E20" s="189"/>
      <c r="F20" s="112">
        <f>SUM(F3:F19)</f>
        <v>24500000</v>
      </c>
      <c r="G20" s="113"/>
    </row>
    <row r="22" spans="2:7" ht="56.25" customHeight="1" x14ac:dyDescent="0.35">
      <c r="B22" s="186" t="s">
        <v>352</v>
      </c>
      <c r="C22" s="186"/>
      <c r="D22" s="186"/>
      <c r="E22" s="186"/>
      <c r="F22" s="186"/>
      <c r="G22" s="186"/>
    </row>
  </sheetData>
  <mergeCells count="2">
    <mergeCell ref="B20:E20"/>
    <mergeCell ref="B22:G22"/>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topLeftCell="A16" zoomScale="80" zoomScaleNormal="80" workbookViewId="0">
      <selection activeCell="F2" sqref="F2:J2"/>
    </sheetView>
  </sheetViews>
  <sheetFormatPr defaultColWidth="9.1796875" defaultRowHeight="15.5" x14ac:dyDescent="0.35"/>
  <cols>
    <col min="1" max="1" width="5.1796875" style="8" customWidth="1"/>
    <col min="2" max="2" width="14" style="10" customWidth="1"/>
    <col min="3" max="3" width="46.54296875" style="11" customWidth="1"/>
    <col min="4" max="4" width="18.1796875" style="11" customWidth="1"/>
    <col min="5" max="5" width="13.7265625" style="12" customWidth="1"/>
    <col min="6" max="6" width="26.453125" style="1" customWidth="1"/>
    <col min="7" max="9" width="26.453125" style="13" customWidth="1"/>
    <col min="10" max="10" width="26.453125" style="7" customWidth="1"/>
    <col min="11" max="11" width="30.54296875" style="7" customWidth="1"/>
    <col min="12" max="12" width="41.1796875" style="7" customWidth="1"/>
    <col min="13" max="13" width="25.81640625" style="7" customWidth="1"/>
    <col min="14" max="14" width="9.54296875" style="7" bestFit="1" customWidth="1"/>
    <col min="15" max="34" width="9.1796875" style="7"/>
    <col min="35" max="16384" width="9.1796875" style="8"/>
  </cols>
  <sheetData>
    <row r="1" spans="1:11" ht="15.75" customHeight="1" thickBot="1" x14ac:dyDescent="0.4">
      <c r="A1" s="4"/>
      <c r="B1" s="5"/>
      <c r="C1" s="20"/>
      <c r="D1" s="20"/>
      <c r="E1" s="20"/>
      <c r="F1" s="20"/>
      <c r="G1" s="6"/>
      <c r="H1" s="6"/>
      <c r="I1" s="6"/>
    </row>
    <row r="2" spans="1:11" s="9" customFormat="1" ht="77.5" collapsed="1" x14ac:dyDescent="0.35">
      <c r="B2" s="72" t="s">
        <v>247</v>
      </c>
      <c r="C2" s="204" t="s">
        <v>221</v>
      </c>
      <c r="D2" s="204"/>
      <c r="E2" s="92" t="s">
        <v>27</v>
      </c>
      <c r="F2" s="142" t="s">
        <v>362</v>
      </c>
      <c r="G2" s="142" t="s">
        <v>363</v>
      </c>
      <c r="H2" s="142" t="s">
        <v>364</v>
      </c>
      <c r="I2" s="142" t="s">
        <v>365</v>
      </c>
      <c r="J2" s="148" t="s">
        <v>366</v>
      </c>
      <c r="K2" s="93" t="s">
        <v>12</v>
      </c>
    </row>
    <row r="3" spans="1:11" x14ac:dyDescent="0.35">
      <c r="B3" s="70" t="s">
        <v>71</v>
      </c>
      <c r="C3" s="191" t="s">
        <v>28</v>
      </c>
      <c r="D3" s="191"/>
      <c r="E3" s="197"/>
      <c r="F3" s="22"/>
      <c r="G3" s="58"/>
      <c r="H3" s="58"/>
      <c r="I3" s="58"/>
      <c r="J3" s="91"/>
      <c r="K3" s="71"/>
    </row>
    <row r="4" spans="1:11" x14ac:dyDescent="0.35">
      <c r="B4" s="70" t="s">
        <v>73</v>
      </c>
      <c r="C4" s="191" t="s">
        <v>29</v>
      </c>
      <c r="D4" s="191"/>
      <c r="E4" s="198"/>
      <c r="F4" s="22"/>
      <c r="G4" s="58"/>
      <c r="H4" s="58"/>
      <c r="I4" s="58"/>
      <c r="J4" s="91"/>
      <c r="K4" s="71"/>
    </row>
    <row r="5" spans="1:11" x14ac:dyDescent="0.35">
      <c r="B5" s="70" t="s">
        <v>75</v>
      </c>
      <c r="C5" s="191" t="s">
        <v>30</v>
      </c>
      <c r="D5" s="191"/>
      <c r="E5" s="198"/>
      <c r="F5" s="22"/>
      <c r="G5" s="58"/>
      <c r="H5" s="58"/>
      <c r="I5" s="58"/>
      <c r="J5" s="91"/>
      <c r="K5" s="71"/>
    </row>
    <row r="6" spans="1:11" x14ac:dyDescent="0.35">
      <c r="B6" s="70" t="s">
        <v>77</v>
      </c>
      <c r="C6" s="191" t="s">
        <v>31</v>
      </c>
      <c r="D6" s="191"/>
      <c r="E6" s="198"/>
      <c r="F6" s="22"/>
      <c r="G6" s="58"/>
      <c r="H6" s="58"/>
      <c r="I6" s="58"/>
      <c r="J6" s="91"/>
      <c r="K6" s="71"/>
    </row>
    <row r="7" spans="1:11" x14ac:dyDescent="0.35">
      <c r="B7" s="70" t="s">
        <v>248</v>
      </c>
      <c r="C7" s="191" t="s">
        <v>32</v>
      </c>
      <c r="D7" s="191"/>
      <c r="E7" s="198"/>
      <c r="F7" s="22"/>
      <c r="G7" s="58"/>
      <c r="H7" s="58"/>
      <c r="I7" s="58"/>
      <c r="J7" s="91"/>
      <c r="K7" s="71"/>
    </row>
    <row r="8" spans="1:11" x14ac:dyDescent="0.35">
      <c r="B8" s="70" t="s">
        <v>249</v>
      </c>
      <c r="C8" s="191" t="s">
        <v>33</v>
      </c>
      <c r="D8" s="191"/>
      <c r="E8" s="198"/>
      <c r="F8" s="22"/>
      <c r="G8" s="58"/>
      <c r="H8" s="58"/>
      <c r="I8" s="58"/>
      <c r="J8" s="91"/>
      <c r="K8" s="71"/>
    </row>
    <row r="9" spans="1:11" x14ac:dyDescent="0.35">
      <c r="B9" s="70" t="s">
        <v>78</v>
      </c>
      <c r="C9" s="191" t="s">
        <v>34</v>
      </c>
      <c r="D9" s="191"/>
      <c r="E9" s="198"/>
      <c r="F9" s="22"/>
      <c r="G9" s="58"/>
      <c r="H9" s="58"/>
      <c r="I9" s="58"/>
      <c r="J9" s="91"/>
      <c r="K9" s="71"/>
    </row>
    <row r="10" spans="1:11" x14ac:dyDescent="0.35">
      <c r="B10" s="70" t="s">
        <v>80</v>
      </c>
      <c r="C10" s="191" t="s">
        <v>35</v>
      </c>
      <c r="D10" s="191"/>
      <c r="E10" s="198"/>
      <c r="F10" s="22"/>
      <c r="G10" s="58"/>
      <c r="H10" s="58"/>
      <c r="I10" s="58"/>
      <c r="J10" s="91"/>
      <c r="K10" s="71"/>
    </row>
    <row r="11" spans="1:11" x14ac:dyDescent="0.35">
      <c r="B11" s="70" t="s">
        <v>82</v>
      </c>
      <c r="C11" s="191" t="s">
        <v>36</v>
      </c>
      <c r="D11" s="191"/>
      <c r="E11" s="198"/>
      <c r="F11" s="22"/>
      <c r="G11" s="58"/>
      <c r="H11" s="58"/>
      <c r="I11" s="58"/>
      <c r="J11" s="91"/>
      <c r="K11" s="71"/>
    </row>
    <row r="12" spans="1:11" x14ac:dyDescent="0.35">
      <c r="B12" s="70" t="s">
        <v>84</v>
      </c>
      <c r="C12" s="191" t="s">
        <v>37</v>
      </c>
      <c r="D12" s="191"/>
      <c r="E12" s="198"/>
      <c r="F12" s="22"/>
      <c r="G12" s="58"/>
      <c r="H12" s="58"/>
      <c r="I12" s="58"/>
      <c r="J12" s="91"/>
      <c r="K12" s="71"/>
    </row>
    <row r="13" spans="1:11" x14ac:dyDescent="0.35">
      <c r="B13" s="70" t="s">
        <v>85</v>
      </c>
      <c r="C13" s="191" t="s">
        <v>38</v>
      </c>
      <c r="D13" s="191"/>
      <c r="E13" s="198"/>
      <c r="F13" s="22"/>
      <c r="G13" s="58"/>
      <c r="H13" s="58"/>
      <c r="I13" s="58"/>
      <c r="J13" s="91"/>
      <c r="K13" s="71"/>
    </row>
    <row r="14" spans="1:11" x14ac:dyDescent="0.35">
      <c r="B14" s="70" t="s">
        <v>87</v>
      </c>
      <c r="C14" s="191" t="s">
        <v>39</v>
      </c>
      <c r="D14" s="191"/>
      <c r="E14" s="198"/>
      <c r="F14" s="22"/>
      <c r="G14" s="58"/>
      <c r="H14" s="58"/>
      <c r="I14" s="58"/>
      <c r="J14" s="91"/>
      <c r="K14" s="71"/>
    </row>
    <row r="15" spans="1:11" x14ac:dyDescent="0.35">
      <c r="B15" s="70" t="s">
        <v>89</v>
      </c>
      <c r="C15" s="191" t="s">
        <v>40</v>
      </c>
      <c r="D15" s="191"/>
      <c r="E15" s="198"/>
      <c r="F15" s="22"/>
      <c r="G15" s="58"/>
      <c r="H15" s="58"/>
      <c r="I15" s="58"/>
      <c r="J15" s="91"/>
      <c r="K15" s="71"/>
    </row>
    <row r="16" spans="1:11" x14ac:dyDescent="0.35">
      <c r="B16" s="70" t="s">
        <v>91</v>
      </c>
      <c r="C16" s="191" t="s">
        <v>41</v>
      </c>
      <c r="D16" s="191"/>
      <c r="E16" s="198"/>
      <c r="F16" s="22"/>
      <c r="G16" s="58"/>
      <c r="H16" s="58"/>
      <c r="I16" s="58"/>
      <c r="J16" s="91"/>
      <c r="K16" s="71"/>
    </row>
    <row r="17" spans="2:12" x14ac:dyDescent="0.35">
      <c r="B17" s="70" t="s">
        <v>250</v>
      </c>
      <c r="C17" s="191" t="s">
        <v>42</v>
      </c>
      <c r="D17" s="191"/>
      <c r="E17" s="198"/>
      <c r="F17" s="22"/>
      <c r="G17" s="58"/>
      <c r="H17" s="58"/>
      <c r="I17" s="58"/>
      <c r="J17" s="91"/>
      <c r="K17" s="71"/>
    </row>
    <row r="18" spans="2:12" x14ac:dyDescent="0.35">
      <c r="B18" s="70" t="s">
        <v>251</v>
      </c>
      <c r="C18" s="191" t="s">
        <v>43</v>
      </c>
      <c r="D18" s="191"/>
      <c r="E18" s="198"/>
      <c r="F18" s="22"/>
      <c r="G18" s="58"/>
      <c r="H18" s="58"/>
      <c r="I18" s="58"/>
      <c r="J18" s="91"/>
      <c r="K18" s="71"/>
    </row>
    <row r="19" spans="2:12" x14ac:dyDescent="0.35">
      <c r="B19" s="70" t="s">
        <v>252</v>
      </c>
      <c r="C19" s="191" t="s">
        <v>44</v>
      </c>
      <c r="D19" s="191"/>
      <c r="E19" s="198"/>
      <c r="F19" s="22"/>
      <c r="G19" s="58"/>
      <c r="H19" s="58"/>
      <c r="I19" s="58"/>
      <c r="J19" s="91"/>
      <c r="K19" s="71"/>
    </row>
    <row r="20" spans="2:12" x14ac:dyDescent="0.35">
      <c r="B20" s="70" t="s">
        <v>253</v>
      </c>
      <c r="C20" s="191" t="s">
        <v>45</v>
      </c>
      <c r="D20" s="191"/>
      <c r="E20" s="198"/>
      <c r="F20" s="22"/>
      <c r="G20" s="58"/>
      <c r="H20" s="58"/>
      <c r="I20" s="58"/>
      <c r="J20" s="91"/>
      <c r="K20" s="71"/>
    </row>
    <row r="21" spans="2:12" x14ac:dyDescent="0.35">
      <c r="B21" s="70" t="s">
        <v>254</v>
      </c>
      <c r="C21" s="191" t="s">
        <v>46</v>
      </c>
      <c r="D21" s="191"/>
      <c r="E21" s="198"/>
      <c r="F21" s="22"/>
      <c r="G21" s="58"/>
      <c r="H21" s="58"/>
      <c r="I21" s="58"/>
      <c r="J21" s="91"/>
      <c r="K21" s="71"/>
    </row>
    <row r="22" spans="2:12" x14ac:dyDescent="0.35">
      <c r="B22" s="70" t="s">
        <v>92</v>
      </c>
      <c r="C22" s="191" t="s">
        <v>47</v>
      </c>
      <c r="D22" s="191"/>
      <c r="E22" s="198"/>
      <c r="F22" s="22"/>
      <c r="G22" s="58"/>
      <c r="H22" s="58"/>
      <c r="I22" s="58"/>
      <c r="J22" s="91"/>
      <c r="K22" s="71"/>
    </row>
    <row r="23" spans="2:12" x14ac:dyDescent="0.35">
      <c r="B23" s="70" t="s">
        <v>94</v>
      </c>
      <c r="C23" s="191" t="s">
        <v>48</v>
      </c>
      <c r="D23" s="191"/>
      <c r="E23" s="198"/>
      <c r="F23" s="22"/>
      <c r="G23" s="58"/>
      <c r="H23" s="58"/>
      <c r="I23" s="58"/>
      <c r="J23" s="91"/>
      <c r="K23" s="71"/>
    </row>
    <row r="24" spans="2:12" x14ac:dyDescent="0.35">
      <c r="B24" s="70" t="s">
        <v>96</v>
      </c>
      <c r="C24" s="191" t="s">
        <v>49</v>
      </c>
      <c r="D24" s="191"/>
      <c r="E24" s="198"/>
      <c r="F24" s="22"/>
      <c r="G24" s="58"/>
      <c r="H24" s="58"/>
      <c r="I24" s="58"/>
      <c r="J24" s="91"/>
      <c r="K24" s="71"/>
    </row>
    <row r="25" spans="2:12" x14ac:dyDescent="0.35">
      <c r="B25" s="70" t="s">
        <v>98</v>
      </c>
      <c r="C25" s="191" t="s">
        <v>50</v>
      </c>
      <c r="D25" s="191"/>
      <c r="E25" s="198"/>
      <c r="F25" s="22"/>
      <c r="G25" s="58"/>
      <c r="H25" s="58"/>
      <c r="I25" s="58"/>
      <c r="J25" s="91"/>
      <c r="K25" s="71"/>
    </row>
    <row r="26" spans="2:12" x14ac:dyDescent="0.35">
      <c r="B26" s="70" t="s">
        <v>100</v>
      </c>
      <c r="C26" s="191" t="s">
        <v>51</v>
      </c>
      <c r="D26" s="191"/>
      <c r="E26" s="198"/>
      <c r="F26" s="22"/>
      <c r="G26" s="58"/>
      <c r="H26" s="58"/>
      <c r="I26" s="58"/>
      <c r="J26" s="91"/>
      <c r="K26" s="71"/>
    </row>
    <row r="27" spans="2:12" x14ac:dyDescent="0.35">
      <c r="B27" s="70" t="s">
        <v>102</v>
      </c>
      <c r="C27" s="191" t="s">
        <v>52</v>
      </c>
      <c r="D27" s="191"/>
      <c r="E27" s="198"/>
      <c r="F27" s="22"/>
      <c r="G27" s="58"/>
      <c r="H27" s="58"/>
      <c r="I27" s="58"/>
      <c r="J27" s="91"/>
      <c r="K27" s="71"/>
    </row>
    <row r="28" spans="2:12" x14ac:dyDescent="0.35">
      <c r="B28" s="70" t="s">
        <v>104</v>
      </c>
      <c r="C28" s="191" t="s">
        <v>53</v>
      </c>
      <c r="D28" s="191"/>
      <c r="E28" s="198"/>
      <c r="F28" s="22"/>
      <c r="G28" s="58"/>
      <c r="H28" s="58"/>
      <c r="I28" s="58"/>
      <c r="J28" s="91"/>
      <c r="K28" s="71"/>
    </row>
    <row r="29" spans="2:12" x14ac:dyDescent="0.35">
      <c r="B29" s="193" t="s">
        <v>255</v>
      </c>
      <c r="C29" s="194"/>
      <c r="D29" s="194"/>
      <c r="E29" s="198"/>
      <c r="F29" s="124">
        <f>SUM(F3:F28)</f>
        <v>0</v>
      </c>
      <c r="G29" s="124">
        <f t="shared" ref="G29:J29" si="0">SUM(G3:G28)</f>
        <v>0</v>
      </c>
      <c r="H29" s="124">
        <f t="shared" si="0"/>
        <v>0</v>
      </c>
      <c r="I29" s="124">
        <f t="shared" si="0"/>
        <v>0</v>
      </c>
      <c r="J29" s="125">
        <f t="shared" si="0"/>
        <v>0</v>
      </c>
      <c r="K29" s="200"/>
      <c r="L29" s="8"/>
    </row>
    <row r="30" spans="2:12" ht="30" customHeight="1" thickBot="1" x14ac:dyDescent="0.4">
      <c r="B30" s="195"/>
      <c r="C30" s="196"/>
      <c r="D30" s="196"/>
      <c r="E30" s="199"/>
      <c r="F30" s="192">
        <f>SUM(F29:J29)</f>
        <v>0</v>
      </c>
      <c r="G30" s="192"/>
      <c r="H30" s="192"/>
      <c r="I30" s="192"/>
      <c r="J30" s="192"/>
      <c r="K30" s="201"/>
    </row>
    <row r="31" spans="2:12" ht="25.5" customHeight="1" x14ac:dyDescent="0.35">
      <c r="B31" s="8"/>
      <c r="C31" s="8"/>
      <c r="D31" s="8"/>
      <c r="E31" s="8"/>
      <c r="F31" s="8"/>
      <c r="G31" s="8"/>
      <c r="H31" s="8"/>
      <c r="I31" s="8"/>
      <c r="J31" s="8"/>
    </row>
    <row r="32" spans="2:12" ht="18.5" x14ac:dyDescent="0.35">
      <c r="B32" s="202" t="s">
        <v>64</v>
      </c>
      <c r="C32" s="202"/>
      <c r="D32" s="202"/>
      <c r="E32" s="202"/>
      <c r="F32" s="202"/>
      <c r="G32" s="202"/>
      <c r="H32" s="202"/>
      <c r="I32" s="202"/>
      <c r="J32" s="202"/>
      <c r="K32" s="202"/>
    </row>
    <row r="33" spans="2:11" ht="77.25" customHeight="1" x14ac:dyDescent="0.35">
      <c r="B33" s="203" t="s">
        <v>351</v>
      </c>
      <c r="C33" s="203"/>
      <c r="D33" s="203"/>
      <c r="E33" s="203"/>
      <c r="F33" s="203"/>
      <c r="G33" s="203"/>
      <c r="H33" s="203"/>
      <c r="I33" s="203"/>
      <c r="J33" s="203"/>
      <c r="K33" s="203"/>
    </row>
    <row r="34" spans="2:11" ht="64.5" customHeight="1" x14ac:dyDescent="0.35">
      <c r="B34" s="19" t="s">
        <v>65</v>
      </c>
      <c r="C34" s="190" t="s">
        <v>353</v>
      </c>
      <c r="D34" s="190"/>
      <c r="E34" s="190"/>
      <c r="F34" s="190"/>
      <c r="G34" s="190"/>
      <c r="H34" s="190"/>
      <c r="I34" s="190"/>
      <c r="J34" s="190"/>
      <c r="K34" s="190"/>
    </row>
    <row r="35" spans="2:11" x14ac:dyDescent="0.35">
      <c r="E35" s="1"/>
      <c r="G35" s="1"/>
      <c r="H35" s="1"/>
      <c r="I35" s="1"/>
    </row>
    <row r="36" spans="2:11" x14ac:dyDescent="0.35">
      <c r="E36" s="1"/>
      <c r="G36" s="1"/>
      <c r="H36" s="1"/>
      <c r="I36" s="1"/>
    </row>
  </sheetData>
  <mergeCells count="34">
    <mergeCell ref="C2:D2"/>
    <mergeCell ref="C3:D3"/>
    <mergeCell ref="C4:D4"/>
    <mergeCell ref="C5:D5"/>
    <mergeCell ref="C16:D16"/>
    <mergeCell ref="C6:D6"/>
    <mergeCell ref="C12:D12"/>
    <mergeCell ref="C13:D13"/>
    <mergeCell ref="C14:D14"/>
    <mergeCell ref="C15:D15"/>
    <mergeCell ref="C7:D7"/>
    <mergeCell ref="C8:D8"/>
    <mergeCell ref="C9:D9"/>
    <mergeCell ref="B32:K32"/>
    <mergeCell ref="B33:K33"/>
    <mergeCell ref="C23:D23"/>
    <mergeCell ref="C24:D24"/>
    <mergeCell ref="C25:D25"/>
    <mergeCell ref="C34:K34"/>
    <mergeCell ref="C27:D27"/>
    <mergeCell ref="C28:D28"/>
    <mergeCell ref="F30:J30"/>
    <mergeCell ref="B29:D30"/>
    <mergeCell ref="E3:E30"/>
    <mergeCell ref="K29:K30"/>
    <mergeCell ref="C17:D17"/>
    <mergeCell ref="C18:D18"/>
    <mergeCell ref="C19:D19"/>
    <mergeCell ref="C20:D20"/>
    <mergeCell ref="C21:D21"/>
    <mergeCell ref="C22:D22"/>
    <mergeCell ref="C10:D10"/>
    <mergeCell ref="C11:D11"/>
    <mergeCell ref="C26:D26"/>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'currencies list'!$A$2:$A$20</xm:f>
          </x14:formula1>
          <xm:sqref>E3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zoomScaleNormal="100" workbookViewId="0">
      <selection activeCell="D17" sqref="D17"/>
    </sheetView>
  </sheetViews>
  <sheetFormatPr defaultColWidth="9.1796875" defaultRowHeight="15.5" x14ac:dyDescent="0.35"/>
  <cols>
    <col min="1" max="1" width="4.26953125" style="8" customWidth="1"/>
    <col min="2" max="2" width="11" style="10" customWidth="1"/>
    <col min="3" max="3" width="46.54296875" style="11" customWidth="1"/>
    <col min="4" max="4" width="18.1796875" style="11" customWidth="1"/>
    <col min="5" max="5" width="21" style="12" customWidth="1"/>
    <col min="6" max="6" width="15.453125" style="12" customWidth="1"/>
    <col min="7" max="7" width="15.81640625" style="1" customWidth="1"/>
    <col min="8" max="8" width="26.54296875" style="13" customWidth="1"/>
    <col min="9" max="10" width="15.81640625" style="13" customWidth="1"/>
    <col min="11" max="11" width="14.81640625" style="7" customWidth="1"/>
    <col min="12" max="12" width="12.26953125" style="7" bestFit="1" customWidth="1"/>
    <col min="13" max="13" width="41.1796875" style="7" customWidth="1"/>
    <col min="14" max="14" width="25.81640625" style="7" customWidth="1"/>
    <col min="15" max="15" width="9.54296875" style="7" bestFit="1" customWidth="1"/>
    <col min="16" max="35" width="9.1796875" style="7"/>
    <col min="36" max="16384" width="9.1796875" style="8"/>
  </cols>
  <sheetData>
    <row r="1" spans="1:35" ht="16" thickBot="1" x14ac:dyDescent="0.4"/>
    <row r="2" spans="1:35" ht="77.5" x14ac:dyDescent="0.35">
      <c r="B2" s="72" t="s">
        <v>256</v>
      </c>
      <c r="C2" s="73" t="s">
        <v>223</v>
      </c>
      <c r="D2" s="89" t="s">
        <v>55</v>
      </c>
      <c r="E2" s="90" t="s">
        <v>56</v>
      </c>
      <c r="F2" s="90" t="s">
        <v>57</v>
      </c>
      <c r="G2" s="96" t="s">
        <v>58</v>
      </c>
      <c r="H2" s="93" t="s">
        <v>12</v>
      </c>
      <c r="I2" s="8"/>
      <c r="J2" s="8"/>
    </row>
    <row r="3" spans="1:35" s="18" customFormat="1" x14ac:dyDescent="0.35">
      <c r="A3" s="7"/>
      <c r="B3" s="74" t="s">
        <v>224</v>
      </c>
      <c r="C3" s="25" t="s">
        <v>59</v>
      </c>
      <c r="D3" s="56">
        <f>0.01*('CLIN 1-DELL GPL'!F17+'CLIN 2-HP GPL'!F20+'CLIN 9-KVM Switches'!F4)</f>
        <v>600000</v>
      </c>
      <c r="E3" s="27">
        <v>0</v>
      </c>
      <c r="F3" s="26">
        <v>0</v>
      </c>
      <c r="G3" s="95">
        <f>D3*F3</f>
        <v>0</v>
      </c>
      <c r="H3" s="71"/>
      <c r="I3" s="8"/>
      <c r="J3" s="8"/>
      <c r="K3" s="7"/>
      <c r="L3" s="7"/>
      <c r="M3" s="7"/>
      <c r="N3" s="7"/>
      <c r="O3" s="7"/>
      <c r="P3" s="7"/>
      <c r="Q3" s="7"/>
      <c r="R3" s="7"/>
      <c r="S3" s="7"/>
      <c r="T3" s="7"/>
      <c r="U3" s="7"/>
      <c r="V3" s="7"/>
      <c r="W3" s="7"/>
      <c r="X3" s="7"/>
      <c r="Y3" s="7"/>
      <c r="Z3" s="7"/>
      <c r="AA3" s="7"/>
      <c r="AB3" s="7"/>
      <c r="AC3" s="7"/>
      <c r="AD3" s="7"/>
      <c r="AE3" s="7"/>
      <c r="AF3" s="7"/>
      <c r="AG3" s="7"/>
      <c r="AH3" s="7"/>
      <c r="AI3" s="7"/>
    </row>
    <row r="4" spans="1:35" s="18" customFormat="1" x14ac:dyDescent="0.35">
      <c r="A4" s="7"/>
      <c r="B4" s="74" t="s">
        <v>225</v>
      </c>
      <c r="C4" s="25" t="s">
        <v>60</v>
      </c>
      <c r="D4" s="56">
        <f>0.1*('CLIN 1-DELL GPL'!F17+'CLIN 2-HP GPL'!F20+'CLIN 9-KVM Switches'!F4)</f>
        <v>6000000</v>
      </c>
      <c r="E4" s="27">
        <v>0</v>
      </c>
      <c r="F4" s="26">
        <v>0</v>
      </c>
      <c r="G4" s="95">
        <f>D4*F4</f>
        <v>0</v>
      </c>
      <c r="H4" s="71"/>
      <c r="I4" s="8"/>
      <c r="J4" s="8"/>
      <c r="K4" s="7"/>
      <c r="L4" s="7"/>
      <c r="M4" s="7"/>
      <c r="N4" s="7"/>
      <c r="O4" s="7"/>
      <c r="P4" s="7"/>
      <c r="Q4" s="7"/>
      <c r="R4" s="7"/>
      <c r="S4" s="7"/>
      <c r="T4" s="7"/>
      <c r="U4" s="7"/>
      <c r="V4" s="7"/>
      <c r="W4" s="7"/>
      <c r="X4" s="7"/>
      <c r="Y4" s="7"/>
      <c r="Z4" s="7"/>
      <c r="AA4" s="7"/>
      <c r="AB4" s="7"/>
      <c r="AC4" s="7"/>
      <c r="AD4" s="7"/>
      <c r="AE4" s="7"/>
      <c r="AF4" s="7"/>
      <c r="AG4" s="7"/>
      <c r="AH4" s="7"/>
      <c r="AI4" s="7"/>
    </row>
    <row r="5" spans="1:35" s="18" customFormat="1" x14ac:dyDescent="0.35">
      <c r="A5" s="7"/>
      <c r="B5" s="74" t="s">
        <v>226</v>
      </c>
      <c r="C5" s="25" t="s">
        <v>61</v>
      </c>
      <c r="D5" s="56">
        <f>0.01*('CLIN 1-DELL GPL'!F17+'CLIN 2-HP GPL'!F20+'CLIN 9-KVM Switches'!F4)</f>
        <v>600000</v>
      </c>
      <c r="E5" s="27">
        <v>0</v>
      </c>
      <c r="F5" s="26">
        <v>0</v>
      </c>
      <c r="G5" s="95">
        <f>D5*F5</f>
        <v>0</v>
      </c>
      <c r="H5" s="71"/>
      <c r="I5" s="8"/>
      <c r="J5" s="8"/>
      <c r="K5" s="7"/>
      <c r="L5" s="7"/>
      <c r="M5" s="7"/>
      <c r="N5" s="7"/>
      <c r="O5" s="7"/>
      <c r="P5" s="7"/>
      <c r="Q5" s="7"/>
      <c r="R5" s="7"/>
      <c r="S5" s="7"/>
      <c r="T5" s="7"/>
      <c r="U5" s="7"/>
      <c r="V5" s="7"/>
      <c r="W5" s="7"/>
      <c r="X5" s="7"/>
      <c r="Y5" s="7"/>
      <c r="Z5" s="7"/>
      <c r="AA5" s="7"/>
      <c r="AB5" s="7"/>
      <c r="AC5" s="7"/>
      <c r="AD5" s="7"/>
      <c r="AE5" s="7"/>
      <c r="AF5" s="7"/>
      <c r="AG5" s="7"/>
      <c r="AH5" s="7"/>
      <c r="AI5" s="7"/>
    </row>
    <row r="6" spans="1:35" s="18" customFormat="1" x14ac:dyDescent="0.35">
      <c r="A6" s="7"/>
      <c r="B6" s="74" t="s">
        <v>227</v>
      </c>
      <c r="C6" s="25" t="s">
        <v>62</v>
      </c>
      <c r="D6" s="56">
        <f>0.88*('CLIN 1-DELL GPL'!F17+'CLIN 2-HP GPL'!F20+'CLIN 9-KVM Switches'!F4)</f>
        <v>52800000</v>
      </c>
      <c r="E6" s="27">
        <v>0</v>
      </c>
      <c r="F6" s="26">
        <v>0</v>
      </c>
      <c r="G6" s="95">
        <f>D6*F6</f>
        <v>0</v>
      </c>
      <c r="H6" s="71"/>
      <c r="I6" s="8"/>
      <c r="J6" s="8"/>
      <c r="K6" s="7"/>
      <c r="L6" s="7"/>
      <c r="M6" s="7"/>
      <c r="N6" s="7"/>
      <c r="O6" s="7"/>
      <c r="P6" s="7"/>
      <c r="Q6" s="7"/>
      <c r="R6" s="7"/>
      <c r="S6" s="7"/>
      <c r="T6" s="7"/>
      <c r="U6" s="7"/>
      <c r="V6" s="7"/>
      <c r="W6" s="7"/>
      <c r="X6" s="7"/>
      <c r="Y6" s="7"/>
      <c r="Z6" s="7"/>
      <c r="AA6" s="7"/>
      <c r="AB6" s="7"/>
      <c r="AC6" s="7"/>
      <c r="AD6" s="7"/>
      <c r="AE6" s="7"/>
      <c r="AF6" s="7"/>
      <c r="AG6" s="7"/>
      <c r="AH6" s="7"/>
      <c r="AI6" s="7"/>
    </row>
    <row r="7" spans="1:35" s="18" customFormat="1" ht="24" customHeight="1" thickBot="1" x14ac:dyDescent="0.4">
      <c r="A7" s="7"/>
      <c r="B7" s="195" t="s">
        <v>228</v>
      </c>
      <c r="C7" s="196"/>
      <c r="D7" s="196"/>
      <c r="E7" s="196"/>
      <c r="F7" s="196"/>
      <c r="G7" s="97">
        <f>SUM(G3:G6)</f>
        <v>0</v>
      </c>
      <c r="H7" s="94"/>
      <c r="I7" s="7"/>
      <c r="J7" s="7"/>
      <c r="K7" s="7"/>
      <c r="L7" s="7"/>
      <c r="M7" s="7"/>
      <c r="N7" s="7"/>
      <c r="O7" s="7"/>
      <c r="P7" s="7"/>
      <c r="Q7" s="7"/>
      <c r="R7" s="7"/>
      <c r="S7" s="7"/>
      <c r="T7" s="7"/>
      <c r="U7" s="7"/>
      <c r="V7" s="7"/>
      <c r="W7" s="7"/>
      <c r="X7" s="7"/>
      <c r="Y7" s="7"/>
      <c r="Z7" s="7"/>
      <c r="AA7" s="7"/>
      <c r="AB7" s="7"/>
      <c r="AC7" s="7"/>
      <c r="AD7" s="7"/>
      <c r="AE7" s="7"/>
      <c r="AF7" s="7"/>
      <c r="AG7" s="7"/>
      <c r="AH7" s="7"/>
      <c r="AI7" s="7"/>
    </row>
    <row r="8" spans="1:35" s="18" customFormat="1" ht="15" customHeight="1" x14ac:dyDescent="0.3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row>
    <row r="9" spans="1:35" ht="18.5" x14ac:dyDescent="0.35">
      <c r="B9" s="202" t="s">
        <v>64</v>
      </c>
      <c r="C9" s="202"/>
      <c r="D9" s="202"/>
      <c r="E9" s="202"/>
      <c r="F9" s="202"/>
      <c r="G9" s="202"/>
      <c r="H9" s="202"/>
      <c r="I9" s="1"/>
      <c r="J9" s="1"/>
    </row>
    <row r="10" spans="1:35" ht="58.5" customHeight="1" x14ac:dyDescent="0.35">
      <c r="B10" s="203" t="s">
        <v>222</v>
      </c>
      <c r="C10" s="203"/>
      <c r="D10" s="203"/>
      <c r="E10" s="203"/>
      <c r="F10" s="203"/>
      <c r="G10" s="203"/>
      <c r="H10" s="203"/>
      <c r="I10" s="1"/>
      <c r="J10" s="1"/>
    </row>
    <row r="11" spans="1:35" ht="93.5" customHeight="1" x14ac:dyDescent="0.35">
      <c r="B11" s="205" t="s">
        <v>396</v>
      </c>
      <c r="C11" s="206"/>
      <c r="D11" s="206"/>
      <c r="E11" s="206"/>
      <c r="F11" s="206"/>
      <c r="G11" s="206"/>
      <c r="H11" s="207"/>
      <c r="I11" s="1"/>
      <c r="J11" s="1"/>
    </row>
    <row r="12" spans="1:35" ht="45.75" customHeight="1" x14ac:dyDescent="0.35">
      <c r="B12" s="19" t="s">
        <v>65</v>
      </c>
      <c r="C12" s="190" t="s">
        <v>66</v>
      </c>
      <c r="D12" s="190"/>
      <c r="E12" s="190"/>
      <c r="F12" s="190"/>
      <c r="G12" s="190"/>
      <c r="H12" s="190"/>
      <c r="I12" s="1"/>
      <c r="J12" s="1"/>
    </row>
    <row r="13" spans="1:35" x14ac:dyDescent="0.35">
      <c r="F13" s="1"/>
      <c r="H13" s="1"/>
      <c r="I13" s="1"/>
      <c r="J13" s="1"/>
    </row>
    <row r="14" spans="1:35" x14ac:dyDescent="0.35">
      <c r="F14" s="1"/>
      <c r="H14" s="1"/>
      <c r="I14" s="1"/>
      <c r="J14" s="1"/>
    </row>
  </sheetData>
  <mergeCells count="5">
    <mergeCell ref="B7:F7"/>
    <mergeCell ref="B9:H9"/>
    <mergeCell ref="B10:H10"/>
    <mergeCell ref="C12:H12"/>
    <mergeCell ref="B11:H1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84"/>
  <sheetViews>
    <sheetView zoomScale="80" zoomScaleNormal="80" workbookViewId="0">
      <selection activeCell="I2" sqref="I2"/>
    </sheetView>
  </sheetViews>
  <sheetFormatPr defaultColWidth="9.1796875" defaultRowHeight="15.5" x14ac:dyDescent="0.35"/>
  <cols>
    <col min="1" max="1" width="3.81640625" style="8" customWidth="1"/>
    <col min="2" max="2" width="10" style="10" customWidth="1"/>
    <col min="3" max="3" width="66" style="11" customWidth="1"/>
    <col min="4" max="4" width="53.7265625" style="11" customWidth="1"/>
    <col min="5" max="5" width="18.1796875" style="11" customWidth="1"/>
    <col min="6" max="7" width="19.7265625" style="12" customWidth="1"/>
    <col min="8" max="8" width="16" style="12" customWidth="1"/>
    <col min="9" max="9" width="15.54296875" style="15" customWidth="1"/>
    <col min="10" max="10" width="15.54296875" style="1" customWidth="1"/>
    <col min="11" max="11" width="15.54296875" style="16" customWidth="1"/>
    <col min="12" max="12" width="25.81640625" style="13" customWidth="1"/>
    <col min="13" max="31" width="9.1796875" style="7"/>
    <col min="32" max="16384" width="9.1796875" style="8"/>
  </cols>
  <sheetData>
    <row r="1" spans="2:12" ht="16" thickBot="1" x14ac:dyDescent="0.4">
      <c r="I1" s="1"/>
      <c r="K1" s="1"/>
      <c r="L1" s="1"/>
    </row>
    <row r="2" spans="2:12" ht="72.5" x14ac:dyDescent="0.35">
      <c r="B2" s="82" t="s">
        <v>257</v>
      </c>
      <c r="C2" s="83" t="s">
        <v>67</v>
      </c>
      <c r="D2" s="83" t="s">
        <v>9</v>
      </c>
      <c r="E2" s="168" t="s">
        <v>390</v>
      </c>
      <c r="F2" s="158" t="s">
        <v>388</v>
      </c>
      <c r="G2" s="158" t="s">
        <v>389</v>
      </c>
      <c r="H2" s="158" t="s">
        <v>230</v>
      </c>
      <c r="I2" s="83" t="s">
        <v>68</v>
      </c>
      <c r="J2" s="83" t="s">
        <v>69</v>
      </c>
      <c r="K2" s="98" t="s">
        <v>70</v>
      </c>
      <c r="L2" s="93" t="s">
        <v>12</v>
      </c>
    </row>
    <row r="3" spans="2:12" x14ac:dyDescent="0.35">
      <c r="B3" s="84"/>
      <c r="C3" s="57" t="s">
        <v>72</v>
      </c>
      <c r="D3" s="75"/>
      <c r="E3" s="75"/>
      <c r="F3" s="76"/>
      <c r="G3" s="76"/>
      <c r="H3" s="76"/>
      <c r="I3" s="77"/>
      <c r="J3" s="77"/>
      <c r="K3" s="99"/>
      <c r="L3" s="85"/>
    </row>
    <row r="4" spans="2:12" x14ac:dyDescent="0.35">
      <c r="B4" s="86" t="s">
        <v>262</v>
      </c>
      <c r="C4" s="2" t="s">
        <v>155</v>
      </c>
      <c r="D4" s="59" t="s">
        <v>156</v>
      </c>
      <c r="E4" s="130">
        <v>595</v>
      </c>
      <c r="F4" s="175">
        <f>ROUNDUP(595*1500*1.1,-1)</f>
        <v>981750</v>
      </c>
      <c r="G4" s="159">
        <v>0</v>
      </c>
      <c r="H4" s="160">
        <f>F4*G4</f>
        <v>0</v>
      </c>
      <c r="I4" s="28"/>
      <c r="J4" s="28"/>
      <c r="K4" s="100"/>
      <c r="L4" s="87"/>
    </row>
    <row r="5" spans="2:12" x14ac:dyDescent="0.35">
      <c r="B5" s="86" t="s">
        <v>263</v>
      </c>
      <c r="C5" s="2" t="s">
        <v>161</v>
      </c>
      <c r="D5" s="59" t="s">
        <v>156</v>
      </c>
      <c r="E5" s="130">
        <v>13</v>
      </c>
      <c r="F5" s="175">
        <f>ROUNDUP(13*1450*1.1,-1)</f>
        <v>20740</v>
      </c>
      <c r="G5" s="159">
        <v>0</v>
      </c>
      <c r="H5" s="160">
        <f>F5*G5</f>
        <v>0</v>
      </c>
      <c r="I5" s="28"/>
      <c r="J5" s="28"/>
      <c r="K5" s="100"/>
      <c r="L5" s="87"/>
    </row>
    <row r="6" spans="2:12" x14ac:dyDescent="0.35">
      <c r="B6" s="84"/>
      <c r="C6" s="57" t="s">
        <v>74</v>
      </c>
      <c r="D6" s="75"/>
      <c r="E6" s="131"/>
      <c r="F6" s="176"/>
      <c r="G6" s="78"/>
      <c r="H6" s="163"/>
      <c r="I6" s="79"/>
      <c r="J6" s="79"/>
      <c r="K6" s="101"/>
      <c r="L6" s="88"/>
    </row>
    <row r="7" spans="2:12" x14ac:dyDescent="0.35">
      <c r="B7" s="86" t="s">
        <v>264</v>
      </c>
      <c r="C7" s="2" t="s">
        <v>157</v>
      </c>
      <c r="D7" s="59" t="s">
        <v>156</v>
      </c>
      <c r="E7" s="130">
        <v>166</v>
      </c>
      <c r="F7" s="175">
        <f>ROUNDUP(166*1500*1.1,-1)</f>
        <v>273900</v>
      </c>
      <c r="G7" s="159">
        <v>0</v>
      </c>
      <c r="H7" s="160">
        <f>F7*G7</f>
        <v>0</v>
      </c>
      <c r="I7" s="28"/>
      <c r="J7" s="28"/>
      <c r="K7" s="100"/>
      <c r="L7" s="87"/>
    </row>
    <row r="8" spans="2:12" x14ac:dyDescent="0.35">
      <c r="B8" s="86" t="s">
        <v>265</v>
      </c>
      <c r="C8" s="2" t="s">
        <v>158</v>
      </c>
      <c r="D8" s="59" t="s">
        <v>156</v>
      </c>
      <c r="E8" s="130">
        <v>8</v>
      </c>
      <c r="F8" s="175">
        <f>ROUNDUP(8*1450*1.1,-1)</f>
        <v>12760</v>
      </c>
      <c r="G8" s="159">
        <v>0</v>
      </c>
      <c r="H8" s="160">
        <f>F8*G8</f>
        <v>0</v>
      </c>
      <c r="I8" s="28"/>
      <c r="J8" s="28"/>
      <c r="K8" s="100"/>
      <c r="L8" s="87"/>
    </row>
    <row r="9" spans="2:12" x14ac:dyDescent="0.35">
      <c r="B9" s="84"/>
      <c r="C9" s="57" t="s">
        <v>76</v>
      </c>
      <c r="D9" s="75"/>
      <c r="E9" s="131"/>
      <c r="F9" s="176"/>
      <c r="G9" s="78"/>
      <c r="H9" s="163"/>
      <c r="I9" s="79"/>
      <c r="J9" s="79"/>
      <c r="K9" s="101"/>
      <c r="L9" s="88"/>
    </row>
    <row r="10" spans="2:12" x14ac:dyDescent="0.35">
      <c r="B10" s="86" t="s">
        <v>266</v>
      </c>
      <c r="C10" s="2" t="s">
        <v>159</v>
      </c>
      <c r="D10" s="59" t="s">
        <v>156</v>
      </c>
      <c r="E10" s="130">
        <v>7</v>
      </c>
      <c r="F10" s="175">
        <f>ROUNDUP(7*1500*1.1,-1)</f>
        <v>11550</v>
      </c>
      <c r="G10" s="159">
        <v>0</v>
      </c>
      <c r="H10" s="160">
        <f>F10*G10</f>
        <v>0</v>
      </c>
      <c r="I10" s="28"/>
      <c r="J10" s="28"/>
      <c r="K10" s="100"/>
      <c r="L10" s="87"/>
    </row>
    <row r="11" spans="2:12" x14ac:dyDescent="0.35">
      <c r="B11" s="86" t="s">
        <v>267</v>
      </c>
      <c r="C11" s="2" t="s">
        <v>160</v>
      </c>
      <c r="D11" s="59" t="s">
        <v>156</v>
      </c>
      <c r="E11" s="130">
        <v>1</v>
      </c>
      <c r="F11" s="175">
        <f>ROUNDUP(1*1450*1.1,-1)</f>
        <v>1600</v>
      </c>
      <c r="G11" s="159">
        <v>0</v>
      </c>
      <c r="H11" s="160">
        <f>F11*G11</f>
        <v>0</v>
      </c>
      <c r="I11" s="28"/>
      <c r="J11" s="28"/>
      <c r="K11" s="100"/>
      <c r="L11" s="87"/>
    </row>
    <row r="12" spans="2:12" x14ac:dyDescent="0.35">
      <c r="B12" s="84"/>
      <c r="C12" s="57" t="s">
        <v>170</v>
      </c>
      <c r="D12" s="80"/>
      <c r="E12" s="132"/>
      <c r="F12" s="177"/>
      <c r="G12" s="78"/>
      <c r="H12" s="163"/>
      <c r="I12" s="79"/>
      <c r="J12" s="79"/>
      <c r="K12" s="101"/>
      <c r="L12" s="88"/>
    </row>
    <row r="13" spans="2:12" ht="31" x14ac:dyDescent="0.35">
      <c r="B13" s="86" t="s">
        <v>268</v>
      </c>
      <c r="C13" s="2" t="s">
        <v>162</v>
      </c>
      <c r="D13" s="2" t="s">
        <v>163</v>
      </c>
      <c r="E13" s="130">
        <v>2695</v>
      </c>
      <c r="F13" s="175">
        <f>ROUNDUP(2695*900*1.1,-1)</f>
        <v>2668050</v>
      </c>
      <c r="G13" s="159">
        <v>0</v>
      </c>
      <c r="H13" s="160">
        <f>F13*G13</f>
        <v>0</v>
      </c>
      <c r="I13" s="28"/>
      <c r="J13" s="28"/>
      <c r="K13" s="100"/>
      <c r="L13" s="87"/>
    </row>
    <row r="14" spans="2:12" ht="46.5" x14ac:dyDescent="0.35">
      <c r="B14" s="86" t="s">
        <v>269</v>
      </c>
      <c r="C14" s="2" t="s">
        <v>164</v>
      </c>
      <c r="D14" s="2" t="s">
        <v>165</v>
      </c>
      <c r="E14" s="130">
        <v>9</v>
      </c>
      <c r="F14" s="175">
        <f>ROUNDUP(9*950*1.1,-1)</f>
        <v>9410</v>
      </c>
      <c r="G14" s="159">
        <v>0</v>
      </c>
      <c r="H14" s="160">
        <f>F14*G14</f>
        <v>0</v>
      </c>
      <c r="I14" s="28"/>
      <c r="J14" s="28"/>
      <c r="K14" s="100"/>
      <c r="L14" s="87"/>
    </row>
    <row r="15" spans="2:12" x14ac:dyDescent="0.35">
      <c r="B15" s="84"/>
      <c r="C15" s="57" t="s">
        <v>171</v>
      </c>
      <c r="D15" s="81"/>
      <c r="E15" s="131"/>
      <c r="F15" s="176"/>
      <c r="G15" s="78"/>
      <c r="H15" s="163"/>
      <c r="I15" s="79"/>
      <c r="J15" s="79"/>
      <c r="K15" s="101"/>
      <c r="L15" s="88"/>
    </row>
    <row r="16" spans="2:12" ht="31" x14ac:dyDescent="0.35">
      <c r="B16" s="86" t="s">
        <v>270</v>
      </c>
      <c r="C16" s="2" t="s">
        <v>166</v>
      </c>
      <c r="D16" s="2" t="s">
        <v>167</v>
      </c>
      <c r="E16" s="130">
        <v>473</v>
      </c>
      <c r="F16" s="175">
        <f>ROUNDUP(473*900*1.1,-1)</f>
        <v>468270</v>
      </c>
      <c r="G16" s="159">
        <v>0</v>
      </c>
      <c r="H16" s="160">
        <f>F16*G16</f>
        <v>0</v>
      </c>
      <c r="I16" s="28"/>
      <c r="J16" s="28"/>
      <c r="K16" s="100"/>
      <c r="L16" s="87"/>
    </row>
    <row r="17" spans="2:12" x14ac:dyDescent="0.35">
      <c r="B17" s="84"/>
      <c r="C17" s="57" t="s">
        <v>172</v>
      </c>
      <c r="D17" s="81"/>
      <c r="E17" s="131"/>
      <c r="F17" s="176"/>
      <c r="G17" s="78"/>
      <c r="H17" s="163"/>
      <c r="I17" s="79"/>
      <c r="J17" s="79"/>
      <c r="K17" s="101"/>
      <c r="L17" s="88"/>
    </row>
    <row r="18" spans="2:12" ht="31" x14ac:dyDescent="0.35">
      <c r="B18" s="86" t="s">
        <v>271</v>
      </c>
      <c r="C18" s="2" t="s">
        <v>168</v>
      </c>
      <c r="D18" s="2" t="s">
        <v>169</v>
      </c>
      <c r="E18" s="130">
        <v>14</v>
      </c>
      <c r="F18" s="175">
        <f>ROUNDUP(14*900*1.1,-1)</f>
        <v>13860</v>
      </c>
      <c r="G18" s="159">
        <v>0</v>
      </c>
      <c r="H18" s="160">
        <f>F18*G18</f>
        <v>0</v>
      </c>
      <c r="I18" s="28"/>
      <c r="J18" s="28"/>
      <c r="K18" s="100"/>
      <c r="L18" s="87"/>
    </row>
    <row r="19" spans="2:12" x14ac:dyDescent="0.35">
      <c r="B19" s="84"/>
      <c r="C19" s="57" t="s">
        <v>79</v>
      </c>
      <c r="D19" s="75"/>
      <c r="E19" s="131"/>
      <c r="F19" s="176"/>
      <c r="G19" s="78"/>
      <c r="H19" s="163"/>
      <c r="I19" s="79"/>
      <c r="J19" s="79"/>
      <c r="K19" s="101"/>
      <c r="L19" s="88"/>
    </row>
    <row r="20" spans="2:12" x14ac:dyDescent="0.35">
      <c r="B20" s="86" t="s">
        <v>272</v>
      </c>
      <c r="C20" s="62" t="s">
        <v>154</v>
      </c>
      <c r="D20" s="66" t="s">
        <v>173</v>
      </c>
      <c r="E20" s="130">
        <v>391</v>
      </c>
      <c r="F20" s="175">
        <f>ROUNDUP(391*450*1.1,-1)</f>
        <v>193550</v>
      </c>
      <c r="G20" s="159">
        <v>0</v>
      </c>
      <c r="H20" s="160">
        <f>F20*G20</f>
        <v>0</v>
      </c>
      <c r="I20" s="28"/>
      <c r="J20" s="28"/>
      <c r="K20" s="100"/>
      <c r="L20" s="87"/>
    </row>
    <row r="21" spans="2:12" x14ac:dyDescent="0.35">
      <c r="B21" s="86" t="s">
        <v>273</v>
      </c>
      <c r="C21" s="62" t="s">
        <v>174</v>
      </c>
      <c r="D21" s="66" t="s">
        <v>173</v>
      </c>
      <c r="E21" s="130">
        <v>18</v>
      </c>
      <c r="F21" s="175">
        <f>ROUNDUP(18*500*1.1,-1)</f>
        <v>9900</v>
      </c>
      <c r="G21" s="159">
        <v>0</v>
      </c>
      <c r="H21" s="160">
        <f>F21*G21</f>
        <v>0</v>
      </c>
      <c r="I21" s="28"/>
      <c r="J21" s="28"/>
      <c r="K21" s="100"/>
      <c r="L21" s="87"/>
    </row>
    <row r="22" spans="2:12" x14ac:dyDescent="0.35">
      <c r="B22" s="84"/>
      <c r="C22" s="57" t="s">
        <v>81</v>
      </c>
      <c r="D22" s="75"/>
      <c r="E22" s="131"/>
      <c r="F22" s="176"/>
      <c r="G22" s="78"/>
      <c r="H22" s="163"/>
      <c r="I22" s="79"/>
      <c r="J22" s="79"/>
      <c r="K22" s="101"/>
      <c r="L22" s="88"/>
    </row>
    <row r="23" spans="2:12" x14ac:dyDescent="0.35">
      <c r="B23" s="86" t="s">
        <v>274</v>
      </c>
      <c r="C23" s="62" t="s">
        <v>175</v>
      </c>
      <c r="D23" s="66" t="s">
        <v>173</v>
      </c>
      <c r="E23" s="130">
        <v>53</v>
      </c>
      <c r="F23" s="175">
        <f>ROUNDUP(53*450*1.1,-1)</f>
        <v>26240</v>
      </c>
      <c r="G23" s="159">
        <v>0</v>
      </c>
      <c r="H23" s="160">
        <f>F23*G23</f>
        <v>0</v>
      </c>
      <c r="I23" s="28"/>
      <c r="J23" s="28"/>
      <c r="K23" s="100"/>
      <c r="L23" s="87"/>
    </row>
    <row r="24" spans="2:12" x14ac:dyDescent="0.35">
      <c r="B24" s="86" t="s">
        <v>275</v>
      </c>
      <c r="C24" s="62" t="s">
        <v>176</v>
      </c>
      <c r="D24" s="66" t="s">
        <v>173</v>
      </c>
      <c r="E24" s="130">
        <v>1</v>
      </c>
      <c r="F24" s="175">
        <f>ROUNDUP(1*500*1.1,-1)</f>
        <v>550</v>
      </c>
      <c r="G24" s="159">
        <v>0</v>
      </c>
      <c r="H24" s="160">
        <f>F24*G24</f>
        <v>0</v>
      </c>
      <c r="I24" s="28"/>
      <c r="J24" s="28"/>
      <c r="K24" s="100"/>
      <c r="L24" s="87"/>
    </row>
    <row r="25" spans="2:12" x14ac:dyDescent="0.35">
      <c r="B25" s="84"/>
      <c r="C25" s="57" t="s">
        <v>83</v>
      </c>
      <c r="D25" s="75"/>
      <c r="E25" s="131"/>
      <c r="F25" s="176"/>
      <c r="G25" s="78"/>
      <c r="H25" s="163"/>
      <c r="I25" s="79"/>
      <c r="J25" s="79"/>
      <c r="K25" s="101"/>
      <c r="L25" s="88"/>
    </row>
    <row r="26" spans="2:12" x14ac:dyDescent="0.35">
      <c r="B26" s="86" t="s">
        <v>276</v>
      </c>
      <c r="C26" s="62" t="s">
        <v>177</v>
      </c>
      <c r="D26" s="66" t="s">
        <v>173</v>
      </c>
      <c r="E26" s="130">
        <v>1</v>
      </c>
      <c r="F26" s="175">
        <f>ROUNDUP(450*1.1,-1)</f>
        <v>500</v>
      </c>
      <c r="G26" s="159">
        <v>0</v>
      </c>
      <c r="H26" s="160">
        <f>F26*G26</f>
        <v>0</v>
      </c>
      <c r="I26" s="28"/>
      <c r="J26" s="28"/>
      <c r="K26" s="100"/>
      <c r="L26" s="87"/>
    </row>
    <row r="27" spans="2:12" x14ac:dyDescent="0.35">
      <c r="B27" s="86" t="s">
        <v>277</v>
      </c>
      <c r="C27" s="62" t="s">
        <v>178</v>
      </c>
      <c r="D27" s="66" t="s">
        <v>173</v>
      </c>
      <c r="E27" s="130">
        <v>1</v>
      </c>
      <c r="F27" s="175">
        <f>ROUNDUP(500*1.1,-1)</f>
        <v>550</v>
      </c>
      <c r="G27" s="159">
        <v>0</v>
      </c>
      <c r="H27" s="160">
        <f>F27*G27</f>
        <v>0</v>
      </c>
      <c r="I27" s="28"/>
      <c r="J27" s="28"/>
      <c r="K27" s="100"/>
      <c r="L27" s="87"/>
    </row>
    <row r="28" spans="2:12" x14ac:dyDescent="0.35">
      <c r="B28" s="84"/>
      <c r="C28" s="21" t="s">
        <v>179</v>
      </c>
      <c r="D28" s="57"/>
      <c r="E28" s="134"/>
      <c r="F28" s="178"/>
      <c r="G28" s="78"/>
      <c r="H28" s="163"/>
      <c r="I28" s="79"/>
      <c r="J28" s="79"/>
      <c r="K28" s="101"/>
      <c r="L28" s="88"/>
    </row>
    <row r="29" spans="2:12" x14ac:dyDescent="0.35">
      <c r="B29" s="86" t="s">
        <v>278</v>
      </c>
      <c r="C29" s="63" t="s">
        <v>184</v>
      </c>
      <c r="D29" s="60" t="s">
        <v>185</v>
      </c>
      <c r="E29" s="130">
        <v>26</v>
      </c>
      <c r="F29" s="175">
        <f>ROUNDUP(26*280*1.1,-1)</f>
        <v>8010</v>
      </c>
      <c r="G29" s="159">
        <v>0</v>
      </c>
      <c r="H29" s="160">
        <f>F29*G29</f>
        <v>0</v>
      </c>
      <c r="I29" s="28"/>
      <c r="J29" s="28"/>
      <c r="K29" s="100"/>
      <c r="L29" s="87"/>
    </row>
    <row r="30" spans="2:12" x14ac:dyDescent="0.35">
      <c r="B30" s="84"/>
      <c r="C30" s="57" t="s">
        <v>180</v>
      </c>
      <c r="D30" s="21"/>
      <c r="E30" s="134"/>
      <c r="F30" s="178"/>
      <c r="G30" s="78"/>
      <c r="H30" s="163"/>
      <c r="I30" s="79"/>
      <c r="J30" s="79"/>
      <c r="K30" s="101"/>
      <c r="L30" s="88"/>
    </row>
    <row r="31" spans="2:12" x14ac:dyDescent="0.35">
      <c r="B31" s="86" t="s">
        <v>279</v>
      </c>
      <c r="C31" s="17" t="s">
        <v>86</v>
      </c>
      <c r="D31" s="17"/>
      <c r="E31" s="130">
        <v>3392</v>
      </c>
      <c r="F31" s="175">
        <f>ROUNDUP(3392*180*1.1,-1)</f>
        <v>671620</v>
      </c>
      <c r="G31" s="159">
        <v>0</v>
      </c>
      <c r="H31" s="160">
        <f>F31*G31</f>
        <v>0</v>
      </c>
      <c r="I31" s="28"/>
      <c r="J31" s="28"/>
      <c r="K31" s="100"/>
      <c r="L31" s="87"/>
    </row>
    <row r="32" spans="2:12" x14ac:dyDescent="0.35">
      <c r="B32" s="86" t="s">
        <v>280</v>
      </c>
      <c r="C32" s="17" t="s">
        <v>88</v>
      </c>
      <c r="D32" s="17"/>
      <c r="E32" s="130">
        <v>974</v>
      </c>
      <c r="F32" s="175">
        <f>ROUNDUP(974*180*1.1,-1)</f>
        <v>192860</v>
      </c>
      <c r="G32" s="159">
        <v>0</v>
      </c>
      <c r="H32" s="160">
        <f>F32*G32</f>
        <v>0</v>
      </c>
      <c r="I32" s="28"/>
      <c r="J32" s="28"/>
      <c r="K32" s="100"/>
      <c r="L32" s="87"/>
    </row>
    <row r="33" spans="2:12" x14ac:dyDescent="0.35">
      <c r="B33" s="86" t="s">
        <v>281</v>
      </c>
      <c r="C33" s="17" t="s">
        <v>90</v>
      </c>
      <c r="D33" s="17"/>
      <c r="E33" s="130">
        <v>26</v>
      </c>
      <c r="F33" s="175">
        <f>ROUNDUP(26*180*1.1,-1)</f>
        <v>5150</v>
      </c>
      <c r="G33" s="159">
        <v>0</v>
      </c>
      <c r="H33" s="160">
        <f>F33*G33</f>
        <v>0</v>
      </c>
      <c r="I33" s="28"/>
      <c r="J33" s="28"/>
      <c r="K33" s="100"/>
      <c r="L33" s="87"/>
    </row>
    <row r="34" spans="2:12" x14ac:dyDescent="0.35">
      <c r="B34" s="84"/>
      <c r="C34" s="57" t="s">
        <v>146</v>
      </c>
      <c r="D34" s="75"/>
      <c r="E34" s="131"/>
      <c r="F34" s="176"/>
      <c r="G34" s="78"/>
      <c r="H34" s="163"/>
      <c r="I34" s="79"/>
      <c r="J34" s="79"/>
      <c r="K34" s="101"/>
      <c r="L34" s="88"/>
    </row>
    <row r="35" spans="2:12" x14ac:dyDescent="0.35">
      <c r="B35" s="86" t="s">
        <v>282</v>
      </c>
      <c r="C35" s="63" t="s">
        <v>93</v>
      </c>
      <c r="D35" s="60" t="s">
        <v>181</v>
      </c>
      <c r="E35" s="130">
        <v>3392</v>
      </c>
      <c r="F35" s="175">
        <f>ROUNDUP(3392*11*1.1,-1)</f>
        <v>41050</v>
      </c>
      <c r="G35" s="159">
        <v>0</v>
      </c>
      <c r="H35" s="160">
        <f>F35*G35</f>
        <v>0</v>
      </c>
      <c r="I35" s="28"/>
      <c r="J35" s="28"/>
      <c r="K35" s="100"/>
      <c r="L35" s="87"/>
    </row>
    <row r="36" spans="2:12" x14ac:dyDescent="0.35">
      <c r="B36" s="86" t="s">
        <v>283</v>
      </c>
      <c r="C36" s="63" t="s">
        <v>95</v>
      </c>
      <c r="D36" s="60" t="s">
        <v>182</v>
      </c>
      <c r="E36" s="130">
        <v>740</v>
      </c>
      <c r="F36" s="175">
        <f>ROUNDUP(740*11*1.1,-1)</f>
        <v>8960</v>
      </c>
      <c r="G36" s="159">
        <v>0</v>
      </c>
      <c r="H36" s="160">
        <f>F36*G36</f>
        <v>0</v>
      </c>
      <c r="I36" s="28"/>
      <c r="J36" s="28"/>
      <c r="K36" s="100"/>
      <c r="L36" s="87"/>
    </row>
    <row r="37" spans="2:12" x14ac:dyDescent="0.35">
      <c r="B37" s="86" t="s">
        <v>284</v>
      </c>
      <c r="C37" s="63" t="s">
        <v>97</v>
      </c>
      <c r="D37" s="60" t="s">
        <v>183</v>
      </c>
      <c r="E37" s="130">
        <v>31</v>
      </c>
      <c r="F37" s="175">
        <f>ROUNDUP(31*11*1.1,-1)</f>
        <v>380</v>
      </c>
      <c r="G37" s="159">
        <v>0</v>
      </c>
      <c r="H37" s="160">
        <f t="shared" ref="H37:H53" si="0">F37*G37</f>
        <v>0</v>
      </c>
      <c r="I37" s="28"/>
      <c r="J37" s="28"/>
      <c r="K37" s="100"/>
      <c r="L37" s="87"/>
    </row>
    <row r="38" spans="2:12" x14ac:dyDescent="0.35">
      <c r="B38" s="86" t="s">
        <v>285</v>
      </c>
      <c r="C38" s="63" t="s">
        <v>99</v>
      </c>
      <c r="D38" s="60" t="s">
        <v>181</v>
      </c>
      <c r="E38" s="130">
        <v>3452</v>
      </c>
      <c r="F38" s="175">
        <f>ROUNDUP(3452*11*1.1,-1)</f>
        <v>41770</v>
      </c>
      <c r="G38" s="159">
        <v>0</v>
      </c>
      <c r="H38" s="160">
        <f t="shared" si="0"/>
        <v>0</v>
      </c>
      <c r="I38" s="28"/>
      <c r="J38" s="28"/>
      <c r="K38" s="100"/>
      <c r="L38" s="87"/>
    </row>
    <row r="39" spans="2:12" x14ac:dyDescent="0.35">
      <c r="B39" s="86" t="s">
        <v>286</v>
      </c>
      <c r="C39" s="63" t="s">
        <v>101</v>
      </c>
      <c r="D39" s="60" t="s">
        <v>182</v>
      </c>
      <c r="E39" s="130">
        <v>842</v>
      </c>
      <c r="F39" s="175">
        <f>ROUNDUP(842*11*1.1,-1)</f>
        <v>10190</v>
      </c>
      <c r="G39" s="159">
        <v>0</v>
      </c>
      <c r="H39" s="160">
        <f t="shared" si="0"/>
        <v>0</v>
      </c>
      <c r="I39" s="28"/>
      <c r="J39" s="28"/>
      <c r="K39" s="100"/>
      <c r="L39" s="87"/>
    </row>
    <row r="40" spans="2:12" x14ac:dyDescent="0.35">
      <c r="B40" s="86" t="s">
        <v>287</v>
      </c>
      <c r="C40" s="63" t="s">
        <v>103</v>
      </c>
      <c r="D40" s="60" t="s">
        <v>183</v>
      </c>
      <c r="E40" s="130">
        <v>31</v>
      </c>
      <c r="F40" s="175">
        <f>ROUNDUP(31*11*1.1,-1)</f>
        <v>380</v>
      </c>
      <c r="G40" s="159">
        <v>0</v>
      </c>
      <c r="H40" s="160">
        <f t="shared" si="0"/>
        <v>0</v>
      </c>
      <c r="I40" s="28"/>
      <c r="J40" s="28"/>
      <c r="K40" s="100"/>
      <c r="L40" s="87"/>
    </row>
    <row r="41" spans="2:12" x14ac:dyDescent="0.35">
      <c r="B41" s="86" t="s">
        <v>288</v>
      </c>
      <c r="C41" s="63" t="s">
        <v>105</v>
      </c>
      <c r="D41" s="60" t="s">
        <v>181</v>
      </c>
      <c r="E41" s="130">
        <v>3068</v>
      </c>
      <c r="F41" s="175">
        <f>ROUNDUP(3068*120*1.1,-1)</f>
        <v>404980</v>
      </c>
      <c r="G41" s="159">
        <v>0</v>
      </c>
      <c r="H41" s="160">
        <f t="shared" si="0"/>
        <v>0</v>
      </c>
      <c r="I41" s="28"/>
      <c r="J41" s="28"/>
      <c r="K41" s="100"/>
      <c r="L41" s="87"/>
    </row>
    <row r="42" spans="2:12" x14ac:dyDescent="0.35">
      <c r="B42" s="86" t="s">
        <v>289</v>
      </c>
      <c r="C42" s="63" t="s">
        <v>106</v>
      </c>
      <c r="D42" s="60" t="s">
        <v>182</v>
      </c>
      <c r="E42" s="130">
        <v>647</v>
      </c>
      <c r="F42" s="175">
        <f>ROUNDUP(647*120*1.1,-1)</f>
        <v>85410</v>
      </c>
      <c r="G42" s="159">
        <v>0</v>
      </c>
      <c r="H42" s="160">
        <f t="shared" si="0"/>
        <v>0</v>
      </c>
      <c r="I42" s="28"/>
      <c r="J42" s="28"/>
      <c r="K42" s="100"/>
      <c r="L42" s="87"/>
    </row>
    <row r="43" spans="2:12" x14ac:dyDescent="0.35">
      <c r="B43" s="86" t="s">
        <v>290</v>
      </c>
      <c r="C43" s="63" t="s">
        <v>107</v>
      </c>
      <c r="D43" s="60" t="s">
        <v>183</v>
      </c>
      <c r="E43" s="130">
        <v>19</v>
      </c>
      <c r="F43" s="175">
        <f>ROUNDUP(19*120*1.1,-1)</f>
        <v>2510</v>
      </c>
      <c r="G43" s="159">
        <v>0</v>
      </c>
      <c r="H43" s="160">
        <f t="shared" si="0"/>
        <v>0</v>
      </c>
      <c r="I43" s="28"/>
      <c r="J43" s="28"/>
      <c r="K43" s="100"/>
      <c r="L43" s="87"/>
    </row>
    <row r="44" spans="2:12" x14ac:dyDescent="0.35">
      <c r="B44" s="86" t="s">
        <v>291</v>
      </c>
      <c r="C44" s="63" t="s">
        <v>108</v>
      </c>
      <c r="D44" s="60" t="s">
        <v>181</v>
      </c>
      <c r="E44" s="130">
        <v>1</v>
      </c>
      <c r="F44" s="175">
        <f>ROUNDUP(15*1.1,-1)</f>
        <v>20</v>
      </c>
      <c r="G44" s="159">
        <v>0</v>
      </c>
      <c r="H44" s="160">
        <f t="shared" si="0"/>
        <v>0</v>
      </c>
      <c r="I44" s="28"/>
      <c r="J44" s="28"/>
      <c r="K44" s="100"/>
      <c r="L44" s="87"/>
    </row>
    <row r="45" spans="2:12" x14ac:dyDescent="0.35">
      <c r="B45" s="86" t="s">
        <v>292</v>
      </c>
      <c r="C45" s="63" t="s">
        <v>109</v>
      </c>
      <c r="D45" s="60" t="s">
        <v>182</v>
      </c>
      <c r="E45" s="130">
        <v>1</v>
      </c>
      <c r="F45" s="175">
        <f>ROUNDUP(15*1.1,-1)</f>
        <v>20</v>
      </c>
      <c r="G45" s="159">
        <v>0</v>
      </c>
      <c r="H45" s="160">
        <f t="shared" si="0"/>
        <v>0</v>
      </c>
      <c r="I45" s="28"/>
      <c r="J45" s="28"/>
      <c r="K45" s="100"/>
      <c r="L45" s="87"/>
    </row>
    <row r="46" spans="2:12" x14ac:dyDescent="0.35">
      <c r="B46" s="86" t="s">
        <v>293</v>
      </c>
      <c r="C46" s="63" t="s">
        <v>110</v>
      </c>
      <c r="D46" s="60" t="s">
        <v>183</v>
      </c>
      <c r="E46" s="130">
        <v>1</v>
      </c>
      <c r="F46" s="175">
        <f>ROUNDUP(15*1.1,-1)</f>
        <v>20</v>
      </c>
      <c r="G46" s="159">
        <v>0</v>
      </c>
      <c r="H46" s="160">
        <f t="shared" si="0"/>
        <v>0</v>
      </c>
      <c r="I46" s="28"/>
      <c r="J46" s="28"/>
      <c r="K46" s="100"/>
      <c r="L46" s="87"/>
    </row>
    <row r="47" spans="2:12" x14ac:dyDescent="0.35">
      <c r="B47" s="86" t="s">
        <v>294</v>
      </c>
      <c r="C47" s="63" t="s">
        <v>111</v>
      </c>
      <c r="D47" s="60" t="s">
        <v>181</v>
      </c>
      <c r="E47" s="130">
        <v>3047</v>
      </c>
      <c r="F47" s="175">
        <f>ROUNDUP(3047*25*1.1,-1)</f>
        <v>83800</v>
      </c>
      <c r="G47" s="159">
        <v>0</v>
      </c>
      <c r="H47" s="160">
        <f t="shared" si="0"/>
        <v>0</v>
      </c>
      <c r="I47" s="28"/>
      <c r="J47" s="28"/>
      <c r="K47" s="100"/>
      <c r="L47" s="87"/>
    </row>
    <row r="48" spans="2:12" x14ac:dyDescent="0.35">
      <c r="B48" s="86" t="s">
        <v>295</v>
      </c>
      <c r="C48" s="63" t="s">
        <v>112</v>
      </c>
      <c r="D48" s="60" t="s">
        <v>201</v>
      </c>
      <c r="E48" s="130">
        <v>678</v>
      </c>
      <c r="F48" s="175">
        <f>ROUNDUP(678*25*1.1,-1)</f>
        <v>18650</v>
      </c>
      <c r="G48" s="159">
        <v>0</v>
      </c>
      <c r="H48" s="160">
        <f t="shared" si="0"/>
        <v>0</v>
      </c>
      <c r="I48" s="28"/>
      <c r="J48" s="28"/>
      <c r="K48" s="100"/>
      <c r="L48" s="87"/>
    </row>
    <row r="49" spans="2:12" x14ac:dyDescent="0.35">
      <c r="B49" s="86" t="s">
        <v>296</v>
      </c>
      <c r="C49" s="63" t="s">
        <v>113</v>
      </c>
      <c r="D49" s="60" t="s">
        <v>183</v>
      </c>
      <c r="E49" s="130">
        <v>10</v>
      </c>
      <c r="F49" s="175">
        <f>ROUNDUP(10*25*1.1,-1)</f>
        <v>280</v>
      </c>
      <c r="G49" s="159">
        <v>0</v>
      </c>
      <c r="H49" s="160">
        <f t="shared" si="0"/>
        <v>0</v>
      </c>
      <c r="I49" s="28"/>
      <c r="J49" s="28"/>
      <c r="K49" s="100"/>
      <c r="L49" s="87"/>
    </row>
    <row r="50" spans="2:12" x14ac:dyDescent="0.35">
      <c r="B50" s="86" t="s">
        <v>297</v>
      </c>
      <c r="C50" s="64" t="s">
        <v>114</v>
      </c>
      <c r="D50" s="60" t="s">
        <v>181</v>
      </c>
      <c r="E50" s="130">
        <v>1</v>
      </c>
      <c r="F50" s="175">
        <f>ROUNDUP(220*1.1,-1)</f>
        <v>250</v>
      </c>
      <c r="G50" s="159">
        <v>0</v>
      </c>
      <c r="H50" s="160">
        <f t="shared" si="0"/>
        <v>0</v>
      </c>
      <c r="I50" s="28"/>
      <c r="J50" s="28"/>
      <c r="K50" s="100"/>
      <c r="L50" s="87"/>
    </row>
    <row r="51" spans="2:12" x14ac:dyDescent="0.35">
      <c r="B51" s="86" t="s">
        <v>298</v>
      </c>
      <c r="C51" s="64" t="s">
        <v>115</v>
      </c>
      <c r="D51" s="60" t="s">
        <v>201</v>
      </c>
      <c r="E51" s="130">
        <v>1</v>
      </c>
      <c r="F51" s="175">
        <f>ROUNDUP(220*1.1,-1)</f>
        <v>250</v>
      </c>
      <c r="G51" s="159">
        <v>0</v>
      </c>
      <c r="H51" s="160">
        <f t="shared" si="0"/>
        <v>0</v>
      </c>
      <c r="I51" s="28"/>
      <c r="J51" s="28"/>
      <c r="K51" s="100"/>
      <c r="L51" s="87"/>
    </row>
    <row r="52" spans="2:12" x14ac:dyDescent="0.35">
      <c r="B52" s="86" t="s">
        <v>299</v>
      </c>
      <c r="C52" s="64" t="s">
        <v>116</v>
      </c>
      <c r="D52" s="60" t="s">
        <v>183</v>
      </c>
      <c r="E52" s="130">
        <v>1</v>
      </c>
      <c r="F52" s="175">
        <f>ROUNDUP(220*1.1,-1)</f>
        <v>250</v>
      </c>
      <c r="G52" s="159">
        <v>0</v>
      </c>
      <c r="H52" s="160">
        <f t="shared" si="0"/>
        <v>0</v>
      </c>
      <c r="I52" s="28"/>
      <c r="J52" s="28"/>
      <c r="K52" s="100"/>
      <c r="L52" s="87"/>
    </row>
    <row r="53" spans="2:12" x14ac:dyDescent="0.35">
      <c r="B53" s="86" t="s">
        <v>300</v>
      </c>
      <c r="C53" s="61" t="s">
        <v>117</v>
      </c>
      <c r="D53" s="60" t="s">
        <v>181</v>
      </c>
      <c r="E53" s="130">
        <v>110</v>
      </c>
      <c r="F53" s="175">
        <f>ROUNDUP(110*60*1.1,-1)</f>
        <v>7260</v>
      </c>
      <c r="G53" s="159">
        <v>0</v>
      </c>
      <c r="H53" s="160">
        <f t="shared" si="0"/>
        <v>0</v>
      </c>
      <c r="I53" s="28"/>
      <c r="J53" s="28"/>
      <c r="K53" s="100"/>
      <c r="L53" s="87"/>
    </row>
    <row r="54" spans="2:12" ht="31.5" customHeight="1" thickBot="1" x14ac:dyDescent="0.4">
      <c r="B54" s="214" t="s">
        <v>260</v>
      </c>
      <c r="C54" s="215"/>
      <c r="D54" s="215"/>
      <c r="E54" s="215"/>
      <c r="F54" s="215"/>
      <c r="G54" s="216"/>
      <c r="H54" s="162">
        <f>SUM(H4:H53)</f>
        <v>0</v>
      </c>
      <c r="I54" s="208"/>
      <c r="J54" s="209"/>
      <c r="K54" s="209"/>
      <c r="L54" s="210"/>
    </row>
    <row r="56" spans="2:12" ht="71.25" customHeight="1" x14ac:dyDescent="0.35">
      <c r="B56" s="211" t="s">
        <v>395</v>
      </c>
      <c r="C56" s="212"/>
      <c r="D56" s="212"/>
      <c r="E56" s="212"/>
      <c r="F56" s="212"/>
      <c r="G56" s="212"/>
      <c r="H56" s="212"/>
      <c r="I56" s="212"/>
      <c r="J56" s="212"/>
      <c r="K56" s="212"/>
      <c r="L56" s="213"/>
    </row>
    <row r="78" ht="15.65" customHeight="1" x14ac:dyDescent="0.35"/>
    <row r="79" ht="15.65" customHeight="1" x14ac:dyDescent="0.35"/>
    <row r="80" ht="15.65" customHeight="1" x14ac:dyDescent="0.35"/>
    <row r="81" ht="15.65" customHeight="1" x14ac:dyDescent="0.35"/>
    <row r="82" ht="15.65" customHeight="1" x14ac:dyDescent="0.35"/>
    <row r="83" ht="15.65" customHeight="1" x14ac:dyDescent="0.35"/>
    <row r="84" ht="15.65" customHeight="1" x14ac:dyDescent="0.35"/>
  </sheetData>
  <mergeCells count="3">
    <mergeCell ref="I54:L54"/>
    <mergeCell ref="B56:L56"/>
    <mergeCell ref="B54:G54"/>
  </mergeCells>
  <pageMargins left="0.7" right="0.7" top="0.75" bottom="0.75" header="0.3" footer="0.3"/>
  <pageSetup paperSize="9"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7"/>
  <sheetViews>
    <sheetView zoomScale="80" zoomScaleNormal="80" workbookViewId="0">
      <selection activeCell="C71" sqref="C71"/>
    </sheetView>
  </sheetViews>
  <sheetFormatPr defaultRowHeight="14.5" x14ac:dyDescent="0.35"/>
  <cols>
    <col min="1" max="1" width="4.1796875" customWidth="1"/>
    <col min="2" max="2" width="14" customWidth="1"/>
    <col min="3" max="3" width="74.26953125" customWidth="1"/>
    <col min="4" max="4" width="32.453125" customWidth="1"/>
    <col min="5" max="5" width="15.26953125" customWidth="1"/>
    <col min="6" max="6" width="17.81640625" bestFit="1" customWidth="1"/>
    <col min="7" max="7" width="14.81640625" customWidth="1"/>
    <col min="8" max="8" width="15.54296875" customWidth="1"/>
    <col min="9" max="9" width="14.81640625" customWidth="1"/>
    <col min="10" max="10" width="19.7265625" customWidth="1"/>
    <col min="11" max="11" width="16.7265625" customWidth="1"/>
    <col min="12" max="12" width="27.54296875" customWidth="1"/>
  </cols>
  <sheetData>
    <row r="1" spans="2:12" ht="15" thickBot="1" x14ac:dyDescent="0.4"/>
    <row r="2" spans="2:12" ht="88.5" customHeight="1" x14ac:dyDescent="0.35">
      <c r="B2" s="82" t="s">
        <v>258</v>
      </c>
      <c r="C2" s="83" t="s">
        <v>67</v>
      </c>
      <c r="D2" s="83" t="s">
        <v>9</v>
      </c>
      <c r="E2" s="168" t="s">
        <v>390</v>
      </c>
      <c r="F2" s="158" t="s">
        <v>388</v>
      </c>
      <c r="G2" s="158" t="s">
        <v>389</v>
      </c>
      <c r="H2" s="158" t="s">
        <v>230</v>
      </c>
      <c r="I2" s="83" t="s">
        <v>68</v>
      </c>
      <c r="J2" s="83" t="s">
        <v>69</v>
      </c>
      <c r="K2" s="83" t="s">
        <v>70</v>
      </c>
      <c r="L2" s="93" t="s">
        <v>12</v>
      </c>
    </row>
    <row r="3" spans="2:12" ht="15.5" x14ac:dyDescent="0.35">
      <c r="B3" s="102"/>
      <c r="C3" s="57" t="s">
        <v>72</v>
      </c>
      <c r="D3" s="140"/>
      <c r="E3" s="140"/>
      <c r="F3" s="76"/>
      <c r="G3" s="76"/>
      <c r="H3" s="76"/>
      <c r="I3" s="77"/>
      <c r="J3" s="77"/>
      <c r="K3" s="99"/>
      <c r="L3" s="103"/>
    </row>
    <row r="4" spans="2:12" ht="15.5" x14ac:dyDescent="0.35">
      <c r="B4" s="172" t="s">
        <v>301</v>
      </c>
      <c r="C4" s="2" t="s">
        <v>203</v>
      </c>
      <c r="D4" s="138" t="s">
        <v>381</v>
      </c>
      <c r="E4" s="130">
        <v>396</v>
      </c>
      <c r="F4" s="179">
        <f>ROUNDUP(396*1500*1.1,-1)</f>
        <v>653400</v>
      </c>
      <c r="G4" s="159">
        <v>0</v>
      </c>
      <c r="H4" s="160">
        <f>F4*G4</f>
        <v>0</v>
      </c>
      <c r="I4" s="28"/>
      <c r="J4" s="28"/>
      <c r="K4" s="100"/>
      <c r="L4" s="104"/>
    </row>
    <row r="5" spans="2:12" ht="15.5" x14ac:dyDescent="0.35">
      <c r="B5" s="172" t="s">
        <v>302</v>
      </c>
      <c r="C5" s="2" t="s">
        <v>161</v>
      </c>
      <c r="D5" s="138" t="s">
        <v>381</v>
      </c>
      <c r="E5" s="130">
        <v>8</v>
      </c>
      <c r="F5" s="179">
        <f>ROUNDUP(8*1450*1.1,-1)</f>
        <v>12760</v>
      </c>
      <c r="G5" s="159">
        <v>0</v>
      </c>
      <c r="H5" s="160">
        <f>F5*G5</f>
        <v>0</v>
      </c>
      <c r="I5" s="28"/>
      <c r="J5" s="28"/>
      <c r="K5" s="100"/>
      <c r="L5" s="104"/>
    </row>
    <row r="6" spans="2:12" ht="15.5" x14ac:dyDescent="0.35">
      <c r="B6" s="102"/>
      <c r="C6" s="57" t="s">
        <v>74</v>
      </c>
      <c r="D6" s="140"/>
      <c r="E6" s="131"/>
      <c r="F6" s="161"/>
      <c r="G6" s="76"/>
      <c r="H6" s="161"/>
      <c r="I6" s="77"/>
      <c r="J6" s="77"/>
      <c r="K6" s="99"/>
      <c r="L6" s="103"/>
    </row>
    <row r="7" spans="2:12" ht="15.5" x14ac:dyDescent="0.35">
      <c r="B7" s="172" t="s">
        <v>303</v>
      </c>
      <c r="C7" s="2" t="s">
        <v>204</v>
      </c>
      <c r="D7" s="138" t="s">
        <v>381</v>
      </c>
      <c r="E7" s="130">
        <v>111</v>
      </c>
      <c r="F7" s="179">
        <f>ROUNDUP(111*1500*1.1,-1)</f>
        <v>183150</v>
      </c>
      <c r="G7" s="159">
        <v>0</v>
      </c>
      <c r="H7" s="160">
        <f>F7*G7</f>
        <v>0</v>
      </c>
      <c r="I7" s="28"/>
      <c r="J7" s="28"/>
      <c r="K7" s="100"/>
      <c r="L7" s="104"/>
    </row>
    <row r="8" spans="2:12" ht="15.5" x14ac:dyDescent="0.35">
      <c r="B8" s="172" t="s">
        <v>304</v>
      </c>
      <c r="C8" s="2" t="s">
        <v>205</v>
      </c>
      <c r="D8" s="138" t="s">
        <v>381</v>
      </c>
      <c r="E8" s="130">
        <v>5</v>
      </c>
      <c r="F8" s="179">
        <f>ROUNDUP(5*1450*1.1,-1)</f>
        <v>7980</v>
      </c>
      <c r="G8" s="159">
        <v>0</v>
      </c>
      <c r="H8" s="160">
        <f>F8*G8</f>
        <v>0</v>
      </c>
      <c r="I8" s="28"/>
      <c r="J8" s="28"/>
      <c r="K8" s="100"/>
      <c r="L8" s="104"/>
    </row>
    <row r="9" spans="2:12" ht="15.5" x14ac:dyDescent="0.35">
      <c r="B9" s="102"/>
      <c r="C9" s="57" t="s">
        <v>76</v>
      </c>
      <c r="D9" s="140"/>
      <c r="E9" s="131"/>
      <c r="F9" s="161"/>
      <c r="G9" s="76"/>
      <c r="H9" s="161"/>
      <c r="I9" s="77"/>
      <c r="J9" s="77"/>
      <c r="K9" s="99"/>
      <c r="L9" s="103"/>
    </row>
    <row r="10" spans="2:12" ht="15.5" x14ac:dyDescent="0.35">
      <c r="B10" s="172" t="s">
        <v>305</v>
      </c>
      <c r="C10" s="2" t="s">
        <v>206</v>
      </c>
      <c r="D10" s="138" t="s">
        <v>381</v>
      </c>
      <c r="E10" s="130">
        <v>4</v>
      </c>
      <c r="F10" s="179">
        <f>ROUNDUP(4*1500*1.1,-1)</f>
        <v>6600</v>
      </c>
      <c r="G10" s="159">
        <v>0</v>
      </c>
      <c r="H10" s="160">
        <f>F10*G10</f>
        <v>0</v>
      </c>
      <c r="I10" s="28"/>
      <c r="J10" s="28"/>
      <c r="K10" s="100"/>
      <c r="L10" s="104"/>
    </row>
    <row r="11" spans="2:12" ht="15.5" x14ac:dyDescent="0.35">
      <c r="B11" s="172" t="s">
        <v>306</v>
      </c>
      <c r="C11" s="2" t="s">
        <v>207</v>
      </c>
      <c r="D11" s="138" t="s">
        <v>381</v>
      </c>
      <c r="E11" s="130">
        <v>1</v>
      </c>
      <c r="F11" s="179">
        <f>ROUNDUP(1450*1.1,-1)</f>
        <v>1600</v>
      </c>
      <c r="G11" s="159">
        <v>0</v>
      </c>
      <c r="H11" s="160">
        <f>F11*G11</f>
        <v>0</v>
      </c>
      <c r="I11" s="28"/>
      <c r="J11" s="28"/>
      <c r="K11" s="100"/>
      <c r="L11" s="104"/>
    </row>
    <row r="12" spans="2:12" ht="15.5" x14ac:dyDescent="0.35">
      <c r="B12" s="102"/>
      <c r="C12" s="57" t="s">
        <v>170</v>
      </c>
      <c r="D12" s="169"/>
      <c r="E12" s="173"/>
      <c r="F12" s="161"/>
      <c r="G12" s="76"/>
      <c r="H12" s="161"/>
      <c r="I12" s="77"/>
      <c r="J12" s="77"/>
      <c r="K12" s="99"/>
      <c r="L12" s="103"/>
    </row>
    <row r="13" spans="2:12" ht="15.5" x14ac:dyDescent="0.35">
      <c r="B13" s="172" t="s">
        <v>307</v>
      </c>
      <c r="C13" s="2" t="s">
        <v>162</v>
      </c>
      <c r="D13" s="170" t="s">
        <v>382</v>
      </c>
      <c r="E13" s="130">
        <v>1797</v>
      </c>
      <c r="F13" s="179">
        <f>ROUNDUP(1797*900*1.1,-1)</f>
        <v>1779030</v>
      </c>
      <c r="G13" s="159">
        <v>0</v>
      </c>
      <c r="H13" s="160">
        <f>F13*G13</f>
        <v>0</v>
      </c>
      <c r="I13" s="28"/>
      <c r="J13" s="28"/>
      <c r="K13" s="100"/>
      <c r="L13" s="104"/>
    </row>
    <row r="14" spans="2:12" ht="15.5" x14ac:dyDescent="0.35">
      <c r="B14" s="172" t="s">
        <v>308</v>
      </c>
      <c r="C14" s="2" t="s">
        <v>164</v>
      </c>
      <c r="D14" s="170" t="s">
        <v>382</v>
      </c>
      <c r="E14" s="130">
        <v>6</v>
      </c>
      <c r="F14" s="179">
        <f>ROUNDUP(6*950*1.1,-1)</f>
        <v>6270</v>
      </c>
      <c r="G14" s="159">
        <v>0</v>
      </c>
      <c r="H14" s="160">
        <f>F14*G14</f>
        <v>0</v>
      </c>
      <c r="I14" s="28"/>
      <c r="J14" s="28"/>
      <c r="K14" s="100"/>
      <c r="L14" s="104"/>
    </row>
    <row r="15" spans="2:12" ht="15.5" x14ac:dyDescent="0.35">
      <c r="B15" s="102"/>
      <c r="C15" s="57" t="s">
        <v>171</v>
      </c>
      <c r="D15" s="141"/>
      <c r="E15" s="131"/>
      <c r="F15" s="161"/>
      <c r="G15" s="76"/>
      <c r="H15" s="161"/>
      <c r="I15" s="77"/>
      <c r="J15" s="77"/>
      <c r="K15" s="99"/>
      <c r="L15" s="103"/>
    </row>
    <row r="16" spans="2:12" ht="15.5" x14ac:dyDescent="0.35">
      <c r="B16" s="172" t="s">
        <v>309</v>
      </c>
      <c r="C16" s="2" t="s">
        <v>166</v>
      </c>
      <c r="D16" s="171" t="s">
        <v>382</v>
      </c>
      <c r="E16" s="130">
        <v>315</v>
      </c>
      <c r="F16" s="179">
        <f>ROUNDUP(315*900*1.1,-1)</f>
        <v>311850</v>
      </c>
      <c r="G16" s="159">
        <v>0</v>
      </c>
      <c r="H16" s="160">
        <f>F16*G16</f>
        <v>0</v>
      </c>
      <c r="I16" s="28"/>
      <c r="J16" s="28"/>
      <c r="K16" s="100"/>
      <c r="L16" s="104"/>
    </row>
    <row r="17" spans="2:12" ht="15.5" x14ac:dyDescent="0.35">
      <c r="B17" s="102"/>
      <c r="C17" s="57" t="s">
        <v>172</v>
      </c>
      <c r="D17" s="141"/>
      <c r="E17" s="131"/>
      <c r="F17" s="161"/>
      <c r="G17" s="76"/>
      <c r="H17" s="161"/>
      <c r="I17" s="77"/>
      <c r="J17" s="77"/>
      <c r="K17" s="99"/>
      <c r="L17" s="103"/>
    </row>
    <row r="18" spans="2:12" ht="15.5" x14ac:dyDescent="0.35">
      <c r="B18" s="172" t="s">
        <v>310</v>
      </c>
      <c r="C18" s="2" t="s">
        <v>168</v>
      </c>
      <c r="D18" s="171" t="s">
        <v>382</v>
      </c>
      <c r="E18" s="130">
        <v>10</v>
      </c>
      <c r="F18" s="179">
        <f>ROUNDUP(10*900*1.1,-1)</f>
        <v>9900</v>
      </c>
      <c r="G18" s="159">
        <v>0</v>
      </c>
      <c r="H18" s="160">
        <f>F18*G18</f>
        <v>0</v>
      </c>
      <c r="I18" s="28"/>
      <c r="J18" s="28"/>
      <c r="K18" s="100"/>
      <c r="L18" s="104"/>
    </row>
    <row r="19" spans="2:12" ht="15.5" x14ac:dyDescent="0.35">
      <c r="B19" s="102"/>
      <c r="C19" s="57" t="s">
        <v>79</v>
      </c>
      <c r="D19" s="140"/>
      <c r="E19" s="131"/>
      <c r="F19" s="161"/>
      <c r="G19" s="76"/>
      <c r="H19" s="161"/>
      <c r="I19" s="77"/>
      <c r="J19" s="77"/>
      <c r="K19" s="99"/>
      <c r="L19" s="103"/>
    </row>
    <row r="20" spans="2:12" ht="15.5" x14ac:dyDescent="0.35">
      <c r="B20" s="172" t="s">
        <v>311</v>
      </c>
      <c r="C20" s="139" t="s">
        <v>154</v>
      </c>
      <c r="D20" s="139" t="s">
        <v>383</v>
      </c>
      <c r="E20" s="133">
        <v>260</v>
      </c>
      <c r="F20" s="179">
        <f>ROUNDUP(260*450*1.1,-1)</f>
        <v>128700</v>
      </c>
      <c r="G20" s="159">
        <v>0</v>
      </c>
      <c r="H20" s="160">
        <f>F20*G20</f>
        <v>0</v>
      </c>
      <c r="I20" s="28"/>
      <c r="J20" s="28"/>
      <c r="K20" s="100"/>
      <c r="L20" s="104"/>
    </row>
    <row r="21" spans="2:12" ht="15.5" x14ac:dyDescent="0.35">
      <c r="B21" s="172" t="s">
        <v>312</v>
      </c>
      <c r="C21" s="139" t="s">
        <v>174</v>
      </c>
      <c r="D21" s="139" t="s">
        <v>383</v>
      </c>
      <c r="E21" s="133">
        <v>12</v>
      </c>
      <c r="F21" s="179">
        <f>ROUNDUP(12*500*1.1,-1)</f>
        <v>6600</v>
      </c>
      <c r="G21" s="159">
        <v>0</v>
      </c>
      <c r="H21" s="160">
        <f>F21*G21</f>
        <v>0</v>
      </c>
      <c r="I21" s="28"/>
      <c r="J21" s="28"/>
      <c r="K21" s="100"/>
      <c r="L21" s="104"/>
    </row>
    <row r="22" spans="2:12" ht="15.5" x14ac:dyDescent="0.35">
      <c r="B22" s="172" t="s">
        <v>313</v>
      </c>
      <c r="C22" s="139" t="s">
        <v>202</v>
      </c>
      <c r="D22" s="139" t="s">
        <v>383</v>
      </c>
      <c r="E22" s="133">
        <v>32</v>
      </c>
      <c r="F22" s="179">
        <f>ROUNDUP(32*600*1.1,-1)</f>
        <v>21120</v>
      </c>
      <c r="G22" s="159">
        <v>0</v>
      </c>
      <c r="H22" s="160">
        <f>F22*G22</f>
        <v>0</v>
      </c>
      <c r="I22" s="28"/>
      <c r="J22" s="28"/>
      <c r="K22" s="100"/>
      <c r="L22" s="104"/>
    </row>
    <row r="23" spans="2:12" ht="15.5" x14ac:dyDescent="0.35">
      <c r="B23" s="102"/>
      <c r="C23" s="57" t="s">
        <v>81</v>
      </c>
      <c r="D23" s="140"/>
      <c r="E23" s="131"/>
      <c r="F23" s="161"/>
      <c r="G23" s="76"/>
      <c r="H23" s="161"/>
      <c r="I23" s="77"/>
      <c r="J23" s="77"/>
      <c r="K23" s="99"/>
      <c r="L23" s="103"/>
    </row>
    <row r="24" spans="2:12" ht="15.5" x14ac:dyDescent="0.35">
      <c r="B24" s="172" t="s">
        <v>314</v>
      </c>
      <c r="C24" s="139" t="s">
        <v>175</v>
      </c>
      <c r="D24" s="139" t="s">
        <v>383</v>
      </c>
      <c r="E24" s="133">
        <v>35</v>
      </c>
      <c r="F24" s="179">
        <f>ROUNDUP(35*450*1.1,-1)</f>
        <v>17330</v>
      </c>
      <c r="G24" s="159">
        <v>0</v>
      </c>
      <c r="H24" s="160">
        <f>F24*G24</f>
        <v>0</v>
      </c>
      <c r="I24" s="28"/>
      <c r="J24" s="28"/>
      <c r="K24" s="100"/>
      <c r="L24" s="104"/>
    </row>
    <row r="25" spans="2:12" ht="15.5" x14ac:dyDescent="0.35">
      <c r="B25" s="172" t="s">
        <v>315</v>
      </c>
      <c r="C25" s="139" t="s">
        <v>176</v>
      </c>
      <c r="D25" s="139" t="s">
        <v>383</v>
      </c>
      <c r="E25" s="133">
        <v>1</v>
      </c>
      <c r="F25" s="179">
        <f>ROUNDUP(500*1.1,-1)</f>
        <v>550</v>
      </c>
      <c r="G25" s="159">
        <v>0</v>
      </c>
      <c r="H25" s="160">
        <f>F25*G25</f>
        <v>0</v>
      </c>
      <c r="I25" s="28"/>
      <c r="J25" s="28"/>
      <c r="K25" s="100"/>
      <c r="L25" s="104"/>
    </row>
    <row r="26" spans="2:12" ht="15.5" x14ac:dyDescent="0.35">
      <c r="B26" s="102"/>
      <c r="C26" s="57" t="s">
        <v>83</v>
      </c>
      <c r="D26" s="140"/>
      <c r="E26" s="131"/>
      <c r="F26" s="161"/>
      <c r="G26" s="76"/>
      <c r="H26" s="161"/>
      <c r="I26" s="77"/>
      <c r="J26" s="77"/>
      <c r="K26" s="99"/>
      <c r="L26" s="103"/>
    </row>
    <row r="27" spans="2:12" ht="15.5" x14ac:dyDescent="0.35">
      <c r="B27" s="172" t="s">
        <v>316</v>
      </c>
      <c r="C27" s="139" t="s">
        <v>177</v>
      </c>
      <c r="D27" s="139" t="s">
        <v>383</v>
      </c>
      <c r="E27" s="133">
        <v>1</v>
      </c>
      <c r="F27" s="179">
        <f>ROUNDUP(450*1.1,-1)</f>
        <v>500</v>
      </c>
      <c r="G27" s="159">
        <v>0</v>
      </c>
      <c r="H27" s="160">
        <f>F27*G27</f>
        <v>0</v>
      </c>
      <c r="I27" s="28"/>
      <c r="J27" s="28"/>
      <c r="K27" s="100"/>
      <c r="L27" s="104"/>
    </row>
    <row r="28" spans="2:12" ht="15.5" x14ac:dyDescent="0.35">
      <c r="B28" s="172" t="s">
        <v>317</v>
      </c>
      <c r="C28" s="139" t="s">
        <v>178</v>
      </c>
      <c r="D28" s="139" t="s">
        <v>383</v>
      </c>
      <c r="E28" s="133">
        <v>1</v>
      </c>
      <c r="F28" s="179">
        <f>ROUNDUP(500*1.1,-1)</f>
        <v>550</v>
      </c>
      <c r="G28" s="159">
        <v>0</v>
      </c>
      <c r="H28" s="160">
        <f>F28*G28</f>
        <v>0</v>
      </c>
      <c r="I28" s="28"/>
      <c r="J28" s="28"/>
      <c r="K28" s="100"/>
      <c r="L28" s="104"/>
    </row>
    <row r="29" spans="2:12" ht="15.5" x14ac:dyDescent="0.35">
      <c r="B29" s="102"/>
      <c r="C29" s="137" t="s">
        <v>179</v>
      </c>
      <c r="D29" s="137"/>
      <c r="E29" s="134"/>
      <c r="F29" s="161"/>
      <c r="G29" s="76"/>
      <c r="H29" s="161"/>
      <c r="I29" s="77"/>
      <c r="J29" s="77"/>
      <c r="K29" s="99"/>
      <c r="L29" s="103"/>
    </row>
    <row r="30" spans="2:12" ht="15.5" x14ac:dyDescent="0.35">
      <c r="B30" s="172" t="s">
        <v>318</v>
      </c>
      <c r="C30" s="63" t="s">
        <v>184</v>
      </c>
      <c r="D30" s="143" t="s">
        <v>391</v>
      </c>
      <c r="E30" s="135">
        <v>18</v>
      </c>
      <c r="F30" s="179">
        <f>ROUNDUP(18*280*1.1,-1)</f>
        <v>5550</v>
      </c>
      <c r="G30" s="159">
        <v>0</v>
      </c>
      <c r="H30" s="160">
        <f>F30*G30</f>
        <v>0</v>
      </c>
      <c r="I30" s="28"/>
      <c r="J30" s="28"/>
      <c r="K30" s="100"/>
      <c r="L30" s="104"/>
    </row>
    <row r="31" spans="2:12" ht="15.5" x14ac:dyDescent="0.35">
      <c r="B31" s="102"/>
      <c r="C31" s="57" t="s">
        <v>180</v>
      </c>
      <c r="D31" s="137"/>
      <c r="E31" s="134"/>
      <c r="F31" s="161"/>
      <c r="G31" s="76"/>
      <c r="H31" s="161"/>
      <c r="I31" s="77"/>
      <c r="J31" s="77"/>
      <c r="K31" s="99"/>
      <c r="L31" s="103"/>
    </row>
    <row r="32" spans="2:12" ht="15.5" x14ac:dyDescent="0.35">
      <c r="B32" s="172" t="s">
        <v>319</v>
      </c>
      <c r="C32" s="2" t="s">
        <v>86</v>
      </c>
      <c r="D32" s="60" t="s">
        <v>181</v>
      </c>
      <c r="E32" s="135">
        <v>2261</v>
      </c>
      <c r="F32" s="179">
        <f>ROUNDUP(2261*180*1.1,-1)</f>
        <v>447680</v>
      </c>
      <c r="G32" s="159">
        <v>0</v>
      </c>
      <c r="H32" s="160">
        <f>F32*G32</f>
        <v>0</v>
      </c>
      <c r="I32" s="28"/>
      <c r="J32" s="28"/>
      <c r="K32" s="100"/>
      <c r="L32" s="104"/>
    </row>
    <row r="33" spans="2:12" ht="15.65" customHeight="1" x14ac:dyDescent="0.35">
      <c r="B33" s="172" t="s">
        <v>320</v>
      </c>
      <c r="C33" s="2" t="s">
        <v>88</v>
      </c>
      <c r="D33" s="60" t="s">
        <v>182</v>
      </c>
      <c r="E33" s="135">
        <v>649</v>
      </c>
      <c r="F33" s="179">
        <f>ROUNDUP(649*180*1.1,-1)</f>
        <v>128510</v>
      </c>
      <c r="G33" s="159">
        <v>0</v>
      </c>
      <c r="H33" s="160">
        <f>F33*G33</f>
        <v>0</v>
      </c>
      <c r="I33" s="28"/>
      <c r="J33" s="28"/>
      <c r="K33" s="100"/>
      <c r="L33" s="104"/>
    </row>
    <row r="34" spans="2:12" ht="15.5" x14ac:dyDescent="0.35">
      <c r="B34" s="172" t="s">
        <v>321</v>
      </c>
      <c r="C34" s="2" t="s">
        <v>90</v>
      </c>
      <c r="D34" s="60" t="s">
        <v>183</v>
      </c>
      <c r="E34" s="135">
        <v>18</v>
      </c>
      <c r="F34" s="179">
        <f>ROUNDUP(18*180*1.1,-1)</f>
        <v>3570</v>
      </c>
      <c r="G34" s="159">
        <v>0</v>
      </c>
      <c r="H34" s="160">
        <f>F34*G34</f>
        <v>0</v>
      </c>
      <c r="I34" s="28"/>
      <c r="J34" s="28"/>
      <c r="K34" s="100"/>
      <c r="L34" s="104"/>
    </row>
    <row r="35" spans="2:12" ht="15.5" x14ac:dyDescent="0.35">
      <c r="B35" s="102"/>
      <c r="C35" s="57" t="s">
        <v>146</v>
      </c>
      <c r="D35" s="140"/>
      <c r="E35" s="131"/>
      <c r="F35" s="161"/>
      <c r="G35" s="76"/>
      <c r="H35" s="161"/>
      <c r="I35" s="77"/>
      <c r="J35" s="77"/>
      <c r="K35" s="99"/>
      <c r="L35" s="103"/>
    </row>
    <row r="36" spans="2:12" ht="15.5" x14ac:dyDescent="0.35">
      <c r="B36" s="172" t="s">
        <v>322</v>
      </c>
      <c r="C36" s="63" t="s">
        <v>93</v>
      </c>
      <c r="D36" s="60" t="s">
        <v>181</v>
      </c>
      <c r="E36" s="135">
        <v>2261</v>
      </c>
      <c r="F36" s="179">
        <f>ROUNDUP(2261*11*1.1,-1)</f>
        <v>27360</v>
      </c>
      <c r="G36" s="159">
        <v>0</v>
      </c>
      <c r="H36" s="160">
        <f t="shared" ref="H36:H54" si="0">F36*G36</f>
        <v>0</v>
      </c>
      <c r="I36" s="28"/>
      <c r="J36" s="28"/>
      <c r="K36" s="100"/>
      <c r="L36" s="104"/>
    </row>
    <row r="37" spans="2:12" ht="15.5" x14ac:dyDescent="0.35">
      <c r="B37" s="172" t="s">
        <v>323</v>
      </c>
      <c r="C37" s="63" t="s">
        <v>95</v>
      </c>
      <c r="D37" s="60" t="s">
        <v>182</v>
      </c>
      <c r="E37" s="135">
        <v>493</v>
      </c>
      <c r="F37" s="179">
        <f>ROUNDUP(493*11*1.1,-1)</f>
        <v>5970</v>
      </c>
      <c r="G37" s="159">
        <v>0</v>
      </c>
      <c r="H37" s="160">
        <f t="shared" si="0"/>
        <v>0</v>
      </c>
      <c r="I37" s="28"/>
      <c r="J37" s="28"/>
      <c r="K37" s="100"/>
      <c r="L37" s="104"/>
    </row>
    <row r="38" spans="2:12" ht="15.5" x14ac:dyDescent="0.35">
      <c r="B38" s="172" t="s">
        <v>324</v>
      </c>
      <c r="C38" s="63" t="s">
        <v>97</v>
      </c>
      <c r="D38" s="60" t="s">
        <v>183</v>
      </c>
      <c r="E38" s="135">
        <v>21</v>
      </c>
      <c r="F38" s="179">
        <f>ROUNDUP(21*11*1.1,-1)</f>
        <v>260</v>
      </c>
      <c r="G38" s="159">
        <v>0</v>
      </c>
      <c r="H38" s="160">
        <f t="shared" si="0"/>
        <v>0</v>
      </c>
      <c r="I38" s="28"/>
      <c r="J38" s="28"/>
      <c r="K38" s="100"/>
      <c r="L38" s="104"/>
    </row>
    <row r="39" spans="2:12" ht="15.5" x14ac:dyDescent="0.35">
      <c r="B39" s="172" t="s">
        <v>325</v>
      </c>
      <c r="C39" s="63" t="s">
        <v>99</v>
      </c>
      <c r="D39" s="60" t="s">
        <v>181</v>
      </c>
      <c r="E39" s="135">
        <v>2301</v>
      </c>
      <c r="F39" s="179">
        <f>ROUNDUP(2301*11*1.1,-1)</f>
        <v>27850</v>
      </c>
      <c r="G39" s="159">
        <v>0</v>
      </c>
      <c r="H39" s="160">
        <f t="shared" si="0"/>
        <v>0</v>
      </c>
      <c r="I39" s="28"/>
      <c r="J39" s="28"/>
      <c r="K39" s="100"/>
      <c r="L39" s="104"/>
    </row>
    <row r="40" spans="2:12" ht="15.5" x14ac:dyDescent="0.35">
      <c r="B40" s="172" t="s">
        <v>326</v>
      </c>
      <c r="C40" s="63" t="s">
        <v>101</v>
      </c>
      <c r="D40" s="60" t="s">
        <v>182</v>
      </c>
      <c r="E40" s="135">
        <v>561</v>
      </c>
      <c r="F40" s="179">
        <f>ROUNDUP(561*11*1.1,-1)</f>
        <v>6790</v>
      </c>
      <c r="G40" s="159">
        <v>0</v>
      </c>
      <c r="H40" s="160">
        <f t="shared" si="0"/>
        <v>0</v>
      </c>
      <c r="I40" s="28"/>
      <c r="J40" s="28"/>
      <c r="K40" s="100"/>
      <c r="L40" s="104"/>
    </row>
    <row r="41" spans="2:12" ht="15.5" x14ac:dyDescent="0.35">
      <c r="B41" s="172" t="s">
        <v>327</v>
      </c>
      <c r="C41" s="63" t="s">
        <v>103</v>
      </c>
      <c r="D41" s="60" t="s">
        <v>200</v>
      </c>
      <c r="E41" s="135">
        <v>21</v>
      </c>
      <c r="F41" s="179">
        <f>ROUNDUP(21*11*1.1,-1)</f>
        <v>260</v>
      </c>
      <c r="G41" s="159">
        <v>0</v>
      </c>
      <c r="H41" s="160">
        <f t="shared" si="0"/>
        <v>0</v>
      </c>
      <c r="I41" s="28"/>
      <c r="J41" s="28"/>
      <c r="K41" s="100"/>
      <c r="L41" s="104"/>
    </row>
    <row r="42" spans="2:12" ht="15.5" x14ac:dyDescent="0.35">
      <c r="B42" s="172" t="s">
        <v>328</v>
      </c>
      <c r="C42" s="63" t="s">
        <v>105</v>
      </c>
      <c r="D42" s="60" t="s">
        <v>181</v>
      </c>
      <c r="E42" s="135">
        <v>2046</v>
      </c>
      <c r="F42" s="179">
        <f>ROUNDUP(2046*120*1.1,-1)</f>
        <v>270080</v>
      </c>
      <c r="G42" s="159">
        <v>0</v>
      </c>
      <c r="H42" s="160">
        <f t="shared" si="0"/>
        <v>0</v>
      </c>
      <c r="I42" s="28"/>
      <c r="J42" s="28"/>
      <c r="K42" s="100"/>
      <c r="L42" s="104"/>
    </row>
    <row r="43" spans="2:12" ht="15.5" x14ac:dyDescent="0.35">
      <c r="B43" s="172" t="s">
        <v>329</v>
      </c>
      <c r="C43" s="63" t="s">
        <v>106</v>
      </c>
      <c r="D43" s="60" t="s">
        <v>182</v>
      </c>
      <c r="E43" s="135">
        <v>432</v>
      </c>
      <c r="F43" s="179">
        <f>ROUNDUP(432*120*1.1,-1)</f>
        <v>57030</v>
      </c>
      <c r="G43" s="159">
        <v>0</v>
      </c>
      <c r="H43" s="160">
        <f t="shared" si="0"/>
        <v>0</v>
      </c>
      <c r="I43" s="28"/>
      <c r="J43" s="28"/>
      <c r="K43" s="100"/>
      <c r="L43" s="104"/>
    </row>
    <row r="44" spans="2:12" ht="15.5" x14ac:dyDescent="0.35">
      <c r="B44" s="172" t="s">
        <v>330</v>
      </c>
      <c r="C44" s="63" t="s">
        <v>107</v>
      </c>
      <c r="D44" s="60" t="s">
        <v>183</v>
      </c>
      <c r="E44" s="135">
        <v>13</v>
      </c>
      <c r="F44" s="179">
        <f>ROUNDUP(13*120*1.1,-1)</f>
        <v>1720</v>
      </c>
      <c r="G44" s="159">
        <v>0</v>
      </c>
      <c r="H44" s="160">
        <f t="shared" si="0"/>
        <v>0</v>
      </c>
      <c r="I44" s="28"/>
      <c r="J44" s="28"/>
      <c r="K44" s="100"/>
      <c r="L44" s="104"/>
    </row>
    <row r="45" spans="2:12" ht="15.5" x14ac:dyDescent="0.35">
      <c r="B45" s="172" t="s">
        <v>331</v>
      </c>
      <c r="C45" s="63" t="s">
        <v>108</v>
      </c>
      <c r="D45" s="60" t="s">
        <v>181</v>
      </c>
      <c r="E45" s="135">
        <v>1</v>
      </c>
      <c r="F45" s="179">
        <f>ROUNDUP(15*1.1,-1)</f>
        <v>20</v>
      </c>
      <c r="G45" s="159">
        <v>0</v>
      </c>
      <c r="H45" s="160">
        <f t="shared" si="0"/>
        <v>0</v>
      </c>
      <c r="I45" s="28"/>
      <c r="J45" s="28"/>
      <c r="K45" s="100"/>
      <c r="L45" s="104"/>
    </row>
    <row r="46" spans="2:12" ht="15.5" x14ac:dyDescent="0.35">
      <c r="B46" s="172" t="s">
        <v>332</v>
      </c>
      <c r="C46" s="63" t="s">
        <v>109</v>
      </c>
      <c r="D46" s="60" t="s">
        <v>182</v>
      </c>
      <c r="E46" s="135">
        <v>1</v>
      </c>
      <c r="F46" s="179">
        <f>ROUNDUP(15*1.1,-1)</f>
        <v>20</v>
      </c>
      <c r="G46" s="159">
        <v>0</v>
      </c>
      <c r="H46" s="160">
        <f t="shared" si="0"/>
        <v>0</v>
      </c>
      <c r="I46" s="28"/>
      <c r="J46" s="28"/>
      <c r="K46" s="100"/>
      <c r="L46" s="104"/>
    </row>
    <row r="47" spans="2:12" ht="15.5" x14ac:dyDescent="0.35">
      <c r="B47" s="172" t="s">
        <v>333</v>
      </c>
      <c r="C47" s="63" t="s">
        <v>110</v>
      </c>
      <c r="D47" s="60" t="s">
        <v>183</v>
      </c>
      <c r="E47" s="135">
        <v>1</v>
      </c>
      <c r="F47" s="179">
        <f>ROUNDUP(15*1.1,-1)</f>
        <v>20</v>
      </c>
      <c r="G47" s="159">
        <v>0</v>
      </c>
      <c r="H47" s="160">
        <f t="shared" si="0"/>
        <v>0</v>
      </c>
      <c r="I47" s="28"/>
      <c r="J47" s="28"/>
      <c r="K47" s="100"/>
      <c r="L47" s="104"/>
    </row>
    <row r="48" spans="2:12" ht="15.5" x14ac:dyDescent="0.35">
      <c r="B48" s="172" t="s">
        <v>334</v>
      </c>
      <c r="C48" s="63" t="s">
        <v>111</v>
      </c>
      <c r="D48" s="60" t="s">
        <v>181</v>
      </c>
      <c r="E48" s="135">
        <v>2031</v>
      </c>
      <c r="F48" s="179">
        <f>ROUNDUP(2031*25*1.1,-1)</f>
        <v>55860</v>
      </c>
      <c r="G48" s="159">
        <v>0</v>
      </c>
      <c r="H48" s="160">
        <f t="shared" si="0"/>
        <v>0</v>
      </c>
      <c r="I48" s="28"/>
      <c r="J48" s="28"/>
      <c r="K48" s="100"/>
      <c r="L48" s="104"/>
    </row>
    <row r="49" spans="2:12" ht="15.5" x14ac:dyDescent="0.35">
      <c r="B49" s="172" t="s">
        <v>335</v>
      </c>
      <c r="C49" s="63" t="s">
        <v>112</v>
      </c>
      <c r="D49" s="60" t="s">
        <v>201</v>
      </c>
      <c r="E49" s="135">
        <v>452</v>
      </c>
      <c r="F49" s="179">
        <f>ROUNDUP(452*25*1.1,-1)</f>
        <v>12430</v>
      </c>
      <c r="G49" s="159">
        <v>0</v>
      </c>
      <c r="H49" s="160">
        <f t="shared" si="0"/>
        <v>0</v>
      </c>
      <c r="I49" s="28"/>
      <c r="J49" s="28"/>
      <c r="K49" s="100"/>
      <c r="L49" s="104"/>
    </row>
    <row r="50" spans="2:12" ht="15.5" x14ac:dyDescent="0.35">
      <c r="B50" s="172" t="s">
        <v>336</v>
      </c>
      <c r="C50" s="63" t="s">
        <v>113</v>
      </c>
      <c r="D50" s="60" t="s">
        <v>183</v>
      </c>
      <c r="E50" s="135">
        <v>6</v>
      </c>
      <c r="F50" s="179">
        <f>ROUNDUP(6*25*1.1,-1)</f>
        <v>170</v>
      </c>
      <c r="G50" s="159">
        <v>0</v>
      </c>
      <c r="H50" s="160">
        <f t="shared" si="0"/>
        <v>0</v>
      </c>
      <c r="I50" s="28"/>
      <c r="J50" s="28"/>
      <c r="K50" s="100"/>
      <c r="L50" s="104"/>
    </row>
    <row r="51" spans="2:12" ht="15.5" x14ac:dyDescent="0.35">
      <c r="B51" s="172" t="s">
        <v>337</v>
      </c>
      <c r="C51" s="63" t="s">
        <v>114</v>
      </c>
      <c r="D51" s="60" t="s">
        <v>181</v>
      </c>
      <c r="E51" s="135">
        <v>1</v>
      </c>
      <c r="F51" s="179">
        <f>ROUNDUP(220*1.1,-1)</f>
        <v>250</v>
      </c>
      <c r="G51" s="159">
        <v>0</v>
      </c>
      <c r="H51" s="160">
        <f t="shared" si="0"/>
        <v>0</v>
      </c>
      <c r="I51" s="28"/>
      <c r="J51" s="28"/>
      <c r="K51" s="100"/>
      <c r="L51" s="104"/>
    </row>
    <row r="52" spans="2:12" ht="15.5" x14ac:dyDescent="0.35">
      <c r="B52" s="172" t="s">
        <v>338</v>
      </c>
      <c r="C52" s="63" t="s">
        <v>115</v>
      </c>
      <c r="D52" s="60" t="s">
        <v>201</v>
      </c>
      <c r="E52" s="135">
        <v>1</v>
      </c>
      <c r="F52" s="179">
        <f>ROUNDUP(220*1.1,-1)</f>
        <v>250</v>
      </c>
      <c r="G52" s="159">
        <v>0</v>
      </c>
      <c r="H52" s="160">
        <f t="shared" si="0"/>
        <v>0</v>
      </c>
      <c r="I52" s="28"/>
      <c r="J52" s="28"/>
      <c r="K52" s="100"/>
      <c r="L52" s="104"/>
    </row>
    <row r="53" spans="2:12" ht="15.5" x14ac:dyDescent="0.35">
      <c r="B53" s="172" t="s">
        <v>339</v>
      </c>
      <c r="C53" s="63" t="s">
        <v>116</v>
      </c>
      <c r="D53" s="60" t="s">
        <v>183</v>
      </c>
      <c r="E53" s="135">
        <v>1</v>
      </c>
      <c r="F53" s="179">
        <f>ROUNDUP(220*1.1,-1)</f>
        <v>250</v>
      </c>
      <c r="G53" s="159">
        <v>0</v>
      </c>
      <c r="H53" s="160">
        <f t="shared" si="0"/>
        <v>0</v>
      </c>
      <c r="I53" s="28"/>
      <c r="J53" s="28"/>
      <c r="K53" s="100"/>
      <c r="L53" s="104"/>
    </row>
    <row r="54" spans="2:12" ht="15.5" x14ac:dyDescent="0.35">
      <c r="B54" s="172" t="s">
        <v>340</v>
      </c>
      <c r="C54" s="174" t="s">
        <v>117</v>
      </c>
      <c r="D54" s="60" t="s">
        <v>181</v>
      </c>
      <c r="E54" s="135">
        <v>74</v>
      </c>
      <c r="F54" s="179">
        <f>ROUNDUP(74*60*1.1,-1)</f>
        <v>4890</v>
      </c>
      <c r="G54" s="159">
        <v>0</v>
      </c>
      <c r="H54" s="160">
        <f t="shared" si="0"/>
        <v>0</v>
      </c>
      <c r="I54" s="28"/>
      <c r="J54" s="28"/>
      <c r="K54" s="100"/>
      <c r="L54" s="104"/>
    </row>
    <row r="55" spans="2:12" ht="33" customHeight="1" thickBot="1" x14ac:dyDescent="0.4">
      <c r="B55" s="214" t="s">
        <v>259</v>
      </c>
      <c r="C55" s="215"/>
      <c r="D55" s="215"/>
      <c r="E55" s="215"/>
      <c r="F55" s="215"/>
      <c r="G55" s="216"/>
      <c r="H55" s="162">
        <f>SUM(H4:H54)</f>
        <v>0</v>
      </c>
      <c r="I55" s="208"/>
      <c r="J55" s="209"/>
      <c r="K55" s="209"/>
      <c r="L55" s="210"/>
    </row>
    <row r="56" spans="2:12" ht="15.5" x14ac:dyDescent="0.35">
      <c r="B56" s="10"/>
      <c r="C56" s="11"/>
      <c r="D56" s="11"/>
      <c r="E56" s="11"/>
      <c r="F56" s="12"/>
      <c r="G56" s="12"/>
      <c r="H56" s="12"/>
      <c r="I56" s="15"/>
      <c r="J56" s="1"/>
      <c r="K56" s="16"/>
    </row>
    <row r="57" spans="2:12" ht="78.75" customHeight="1" x14ac:dyDescent="0.35">
      <c r="B57" s="211" t="s">
        <v>393</v>
      </c>
      <c r="C57" s="212"/>
      <c r="D57" s="212"/>
      <c r="E57" s="212"/>
      <c r="F57" s="212"/>
      <c r="G57" s="212"/>
      <c r="H57" s="212"/>
      <c r="I57" s="212"/>
      <c r="J57" s="212"/>
      <c r="K57" s="212"/>
      <c r="L57" s="213"/>
    </row>
  </sheetData>
  <mergeCells count="3">
    <mergeCell ref="I55:L55"/>
    <mergeCell ref="B57:L57"/>
    <mergeCell ref="B55:G55"/>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6"/>
  <sheetViews>
    <sheetView tabSelected="1" topLeftCell="B1" zoomScale="80" zoomScaleNormal="80" workbookViewId="0">
      <selection activeCell="E6" sqref="E6"/>
    </sheetView>
  </sheetViews>
  <sheetFormatPr defaultRowHeight="14.5" x14ac:dyDescent="0.35"/>
  <cols>
    <col min="1" max="1" width="1.453125" customWidth="1"/>
    <col min="2" max="2" width="12.81640625" customWidth="1"/>
    <col min="3" max="3" width="47.453125" customWidth="1"/>
    <col min="4" max="4" width="89.26953125" customWidth="1"/>
    <col min="5" max="5" width="15.453125" customWidth="1"/>
    <col min="6" max="6" width="16.81640625" customWidth="1"/>
    <col min="7" max="7" width="14.54296875" customWidth="1"/>
    <col min="8" max="8" width="18.1796875" customWidth="1"/>
    <col min="9" max="9" width="14.1796875" customWidth="1"/>
    <col min="10" max="10" width="13.1796875" customWidth="1"/>
    <col min="11" max="11" width="15.54296875" customWidth="1"/>
    <col min="12" max="12" width="25.54296875" customWidth="1"/>
  </cols>
  <sheetData>
    <row r="1" spans="2:30" ht="72.5" x14ac:dyDescent="0.35">
      <c r="B1" s="82" t="s">
        <v>261</v>
      </c>
      <c r="C1" s="83" t="s">
        <v>67</v>
      </c>
      <c r="D1" s="83" t="s">
        <v>9</v>
      </c>
      <c r="E1" s="168" t="s">
        <v>390</v>
      </c>
      <c r="F1" s="158" t="s">
        <v>388</v>
      </c>
      <c r="G1" s="158" t="s">
        <v>389</v>
      </c>
      <c r="H1" s="158" t="s">
        <v>230</v>
      </c>
      <c r="I1" s="122" t="s">
        <v>68</v>
      </c>
      <c r="J1" s="122" t="s">
        <v>69</v>
      </c>
      <c r="K1" s="122" t="s">
        <v>70</v>
      </c>
      <c r="L1" s="93" t="s">
        <v>12</v>
      </c>
    </row>
    <row r="2" spans="2:30" s="8" customFormat="1" ht="15.5" x14ac:dyDescent="0.35">
      <c r="B2" s="84"/>
      <c r="C2" s="115" t="s">
        <v>198</v>
      </c>
      <c r="D2" s="116"/>
      <c r="E2" s="116"/>
      <c r="F2" s="164"/>
      <c r="G2" s="119"/>
      <c r="H2" s="119"/>
      <c r="I2" s="120"/>
      <c r="J2" s="120"/>
      <c r="K2" s="121"/>
      <c r="L2" s="123"/>
      <c r="M2" s="7"/>
      <c r="N2" s="7"/>
      <c r="O2" s="7"/>
      <c r="P2" s="7"/>
      <c r="Q2" s="7"/>
      <c r="R2" s="7"/>
      <c r="S2" s="7"/>
      <c r="T2" s="7"/>
      <c r="U2" s="7"/>
      <c r="V2" s="7"/>
      <c r="W2" s="7"/>
      <c r="X2" s="7"/>
      <c r="Y2" s="7"/>
      <c r="Z2" s="7"/>
      <c r="AA2" s="7"/>
      <c r="AB2" s="7"/>
      <c r="AC2" s="7"/>
      <c r="AD2" s="7"/>
    </row>
    <row r="3" spans="2:30" s="8" customFormat="1" ht="15.5" x14ac:dyDescent="0.35">
      <c r="B3" s="86" t="s">
        <v>341</v>
      </c>
      <c r="C3" s="63" t="s">
        <v>186</v>
      </c>
      <c r="D3" s="145" t="s">
        <v>385</v>
      </c>
      <c r="E3" s="127">
        <v>113</v>
      </c>
      <c r="F3" s="180">
        <f>ROUNDUP(113*420*1.1,-1)</f>
        <v>52210</v>
      </c>
      <c r="G3" s="182">
        <v>0</v>
      </c>
      <c r="H3" s="165">
        <f>F3*G3</f>
        <v>0</v>
      </c>
      <c r="I3" s="65"/>
      <c r="J3" s="65"/>
      <c r="K3" s="65"/>
      <c r="L3" s="71"/>
      <c r="M3" s="7"/>
      <c r="N3" s="7"/>
      <c r="O3" s="7"/>
      <c r="P3" s="7"/>
      <c r="Q3" s="7"/>
      <c r="R3" s="7"/>
      <c r="S3" s="7"/>
      <c r="T3" s="7"/>
      <c r="U3" s="7"/>
      <c r="V3" s="7"/>
      <c r="W3" s="7"/>
      <c r="X3" s="7"/>
      <c r="Y3" s="7"/>
      <c r="Z3" s="7"/>
      <c r="AA3" s="7"/>
      <c r="AB3" s="7"/>
      <c r="AC3" s="7"/>
      <c r="AD3" s="7"/>
    </row>
    <row r="4" spans="2:30" s="8" customFormat="1" ht="15.5" x14ac:dyDescent="0.35">
      <c r="B4" s="86" t="s">
        <v>342</v>
      </c>
      <c r="C4" s="63" t="s">
        <v>187</v>
      </c>
      <c r="D4" s="144" t="s">
        <v>384</v>
      </c>
      <c r="E4" s="128">
        <v>1146</v>
      </c>
      <c r="F4" s="180">
        <f>ROUNDUP(1146*730*1.1,-1)</f>
        <v>920240</v>
      </c>
      <c r="G4" s="182">
        <v>0</v>
      </c>
      <c r="H4" s="165">
        <f>F4*G4</f>
        <v>0</v>
      </c>
      <c r="I4" s="28"/>
      <c r="J4" s="28"/>
      <c r="K4" s="28"/>
      <c r="L4" s="71"/>
      <c r="M4" s="7"/>
      <c r="N4" s="7"/>
      <c r="O4" s="7"/>
      <c r="P4" s="7"/>
      <c r="Q4" s="7"/>
      <c r="R4" s="7"/>
      <c r="S4" s="7"/>
      <c r="T4" s="7"/>
      <c r="U4" s="7"/>
      <c r="V4" s="7"/>
      <c r="W4" s="7"/>
      <c r="X4" s="7"/>
      <c r="Y4" s="7"/>
      <c r="Z4" s="7"/>
      <c r="AA4" s="7"/>
      <c r="AB4" s="7"/>
      <c r="AC4" s="7"/>
      <c r="AD4" s="7"/>
    </row>
    <row r="5" spans="2:30" s="8" customFormat="1" ht="15.5" x14ac:dyDescent="0.35">
      <c r="B5" s="86" t="s">
        <v>343</v>
      </c>
      <c r="C5" s="63" t="s">
        <v>188</v>
      </c>
      <c r="D5" s="146" t="s">
        <v>386</v>
      </c>
      <c r="E5" s="128">
        <v>71</v>
      </c>
      <c r="F5" s="180">
        <f>ROUNDUP(71*1150*1.1,-1)</f>
        <v>89820</v>
      </c>
      <c r="G5" s="182">
        <v>0</v>
      </c>
      <c r="H5" s="165">
        <f>F5*G5</f>
        <v>0</v>
      </c>
      <c r="I5" s="28"/>
      <c r="J5" s="28"/>
      <c r="K5" s="28"/>
      <c r="L5" s="71"/>
      <c r="M5" s="7"/>
      <c r="N5" s="7"/>
      <c r="O5" s="7"/>
      <c r="P5" s="7"/>
      <c r="Q5" s="7"/>
      <c r="R5" s="7"/>
      <c r="S5" s="7"/>
      <c r="T5" s="7"/>
      <c r="U5" s="7"/>
      <c r="V5" s="7"/>
      <c r="W5" s="7"/>
      <c r="X5" s="7"/>
      <c r="Y5" s="7"/>
      <c r="Z5" s="7"/>
      <c r="AA5" s="7"/>
      <c r="AB5" s="7"/>
      <c r="AC5" s="7"/>
      <c r="AD5" s="7"/>
    </row>
    <row r="6" spans="2:30" s="8" customFormat="1" ht="15.5" x14ac:dyDescent="0.35">
      <c r="B6" s="222" t="s">
        <v>344</v>
      </c>
      <c r="C6" s="223" t="s">
        <v>189</v>
      </c>
      <c r="D6" s="224" t="s">
        <v>190</v>
      </c>
      <c r="E6" s="149">
        <v>5</v>
      </c>
      <c r="F6" s="181"/>
      <c r="G6" s="183"/>
      <c r="H6" s="166"/>
      <c r="I6" s="153"/>
      <c r="J6" s="153"/>
      <c r="K6" s="153"/>
      <c r="L6" s="154"/>
      <c r="M6" s="7"/>
      <c r="N6" s="7"/>
      <c r="O6" s="7"/>
      <c r="P6" s="7"/>
      <c r="Q6" s="7"/>
      <c r="R6" s="7"/>
      <c r="S6" s="7"/>
      <c r="T6" s="7"/>
      <c r="U6" s="7"/>
      <c r="V6" s="7"/>
      <c r="W6" s="7"/>
      <c r="X6" s="7"/>
      <c r="Y6" s="7"/>
      <c r="Z6" s="7"/>
      <c r="AA6" s="7"/>
      <c r="AB6" s="7"/>
      <c r="AC6" s="7"/>
      <c r="AD6" s="7"/>
    </row>
    <row r="7" spans="2:30" s="8" customFormat="1" ht="31" x14ac:dyDescent="0.35">
      <c r="B7" s="222" t="s">
        <v>345</v>
      </c>
      <c r="C7" s="223" t="s">
        <v>191</v>
      </c>
      <c r="D7" s="225" t="s">
        <v>192</v>
      </c>
      <c r="E7" s="150">
        <v>25</v>
      </c>
      <c r="F7" s="181"/>
      <c r="G7" s="183"/>
      <c r="H7" s="166"/>
      <c r="I7" s="155"/>
      <c r="J7" s="155"/>
      <c r="K7" s="155"/>
      <c r="L7" s="154"/>
      <c r="M7" s="7"/>
      <c r="N7" s="7"/>
      <c r="O7" s="7"/>
      <c r="P7" s="7"/>
      <c r="Q7" s="7"/>
      <c r="R7" s="7"/>
      <c r="S7" s="7"/>
      <c r="T7" s="7"/>
      <c r="U7" s="7"/>
      <c r="V7" s="7"/>
      <c r="W7" s="7"/>
      <c r="X7" s="7"/>
      <c r="Y7" s="7"/>
      <c r="Z7" s="7"/>
      <c r="AA7" s="7"/>
      <c r="AB7" s="7"/>
      <c r="AC7" s="7"/>
      <c r="AD7" s="7"/>
    </row>
    <row r="8" spans="2:30" s="8" customFormat="1" ht="15.5" x14ac:dyDescent="0.35">
      <c r="B8" s="84"/>
      <c r="C8" s="117" t="s">
        <v>199</v>
      </c>
      <c r="D8" s="118"/>
      <c r="E8" s="129"/>
      <c r="F8" s="176"/>
      <c r="G8" s="184"/>
      <c r="H8" s="167"/>
      <c r="I8" s="120"/>
      <c r="J8" s="120"/>
      <c r="K8" s="121"/>
      <c r="L8" s="123"/>
      <c r="M8" s="7"/>
      <c r="N8" s="7"/>
      <c r="O8" s="7"/>
      <c r="P8" s="7"/>
      <c r="Q8" s="7"/>
      <c r="R8" s="7"/>
      <c r="S8" s="7"/>
      <c r="T8" s="7"/>
      <c r="U8" s="7"/>
      <c r="V8" s="7"/>
      <c r="W8" s="7"/>
      <c r="X8" s="7"/>
      <c r="Y8" s="7"/>
      <c r="Z8" s="7"/>
      <c r="AA8" s="7"/>
      <c r="AB8" s="7"/>
      <c r="AC8" s="7"/>
      <c r="AD8" s="7"/>
    </row>
    <row r="9" spans="2:30" s="8" customFormat="1" ht="15.5" x14ac:dyDescent="0.35">
      <c r="B9" s="86" t="s">
        <v>346</v>
      </c>
      <c r="C9" s="63" t="s">
        <v>193</v>
      </c>
      <c r="D9" s="147" t="s">
        <v>385</v>
      </c>
      <c r="E9" s="127">
        <v>1</v>
      </c>
      <c r="F9" s="180">
        <f>ROUNDUP(420*1.1,-1)</f>
        <v>470</v>
      </c>
      <c r="G9" s="182">
        <v>0</v>
      </c>
      <c r="H9" s="165">
        <f>F9*G9</f>
        <v>0</v>
      </c>
      <c r="I9" s="65"/>
      <c r="J9" s="65"/>
      <c r="K9" s="65"/>
      <c r="L9" s="71"/>
      <c r="M9" s="7"/>
      <c r="N9" s="7"/>
      <c r="O9" s="7"/>
      <c r="P9" s="7"/>
      <c r="Q9" s="7"/>
      <c r="R9" s="7"/>
      <c r="S9" s="7"/>
      <c r="T9" s="7"/>
      <c r="U9" s="7"/>
      <c r="V9" s="7"/>
      <c r="W9" s="7"/>
      <c r="X9" s="7"/>
      <c r="Y9" s="7"/>
      <c r="Z9" s="7"/>
      <c r="AA9" s="7"/>
      <c r="AB9" s="7"/>
      <c r="AC9" s="7"/>
      <c r="AD9" s="7"/>
    </row>
    <row r="10" spans="2:30" s="8" customFormat="1" ht="15.5" x14ac:dyDescent="0.35">
      <c r="B10" s="86" t="s">
        <v>347</v>
      </c>
      <c r="C10" s="63" t="s">
        <v>194</v>
      </c>
      <c r="D10" s="144" t="s">
        <v>387</v>
      </c>
      <c r="E10" s="128">
        <v>168</v>
      </c>
      <c r="F10" s="180">
        <f>ROUNDUP(168*730*1.1,-1)</f>
        <v>134910</v>
      </c>
      <c r="G10" s="182">
        <v>0</v>
      </c>
      <c r="H10" s="165">
        <f>F10*G10</f>
        <v>0</v>
      </c>
      <c r="I10" s="28"/>
      <c r="J10" s="28"/>
      <c r="K10" s="28"/>
      <c r="L10" s="71"/>
      <c r="M10" s="7"/>
      <c r="N10" s="7"/>
      <c r="O10" s="7"/>
      <c r="P10" s="7"/>
      <c r="Q10" s="7"/>
      <c r="R10" s="7"/>
      <c r="S10" s="7"/>
      <c r="T10" s="7"/>
      <c r="U10" s="7"/>
      <c r="V10" s="7"/>
      <c r="W10" s="7"/>
      <c r="X10" s="7"/>
      <c r="Y10" s="7"/>
      <c r="Z10" s="7"/>
      <c r="AA10" s="7"/>
      <c r="AB10" s="7"/>
      <c r="AC10" s="7"/>
      <c r="AD10" s="7"/>
    </row>
    <row r="11" spans="2:30" s="8" customFormat="1" ht="15.5" x14ac:dyDescent="0.35">
      <c r="B11" s="86" t="s">
        <v>348</v>
      </c>
      <c r="C11" s="63" t="s">
        <v>195</v>
      </c>
      <c r="D11" s="146" t="s">
        <v>386</v>
      </c>
      <c r="E11" s="128">
        <v>41</v>
      </c>
      <c r="F11" s="180">
        <f>ROUNDUP(41*1150*1.1,-1)</f>
        <v>51870</v>
      </c>
      <c r="G11" s="182">
        <v>0</v>
      </c>
      <c r="H11" s="165">
        <f>F11*G11</f>
        <v>0</v>
      </c>
      <c r="I11" s="28"/>
      <c r="J11" s="28"/>
      <c r="K11" s="28"/>
      <c r="L11" s="71"/>
      <c r="M11" s="7"/>
      <c r="N11" s="7"/>
      <c r="O11" s="7"/>
      <c r="P11" s="7"/>
      <c r="Q11" s="7"/>
      <c r="R11" s="7"/>
      <c r="S11" s="7"/>
      <c r="T11" s="7"/>
      <c r="U11" s="7"/>
      <c r="V11" s="7"/>
      <c r="W11" s="7"/>
      <c r="X11" s="7"/>
      <c r="Y11" s="7"/>
      <c r="Z11" s="7"/>
      <c r="AA11" s="7"/>
      <c r="AB11" s="7"/>
      <c r="AC11" s="7"/>
      <c r="AD11" s="7"/>
    </row>
    <row r="12" spans="2:30" s="8" customFormat="1" ht="15.5" x14ac:dyDescent="0.35">
      <c r="B12" s="222" t="s">
        <v>349</v>
      </c>
      <c r="C12" s="223" t="s">
        <v>196</v>
      </c>
      <c r="D12" s="224" t="s">
        <v>190</v>
      </c>
      <c r="E12" s="149">
        <v>1</v>
      </c>
      <c r="F12" s="181"/>
      <c r="G12" s="183"/>
      <c r="H12" s="166"/>
      <c r="I12" s="153"/>
      <c r="J12" s="153"/>
      <c r="K12" s="153"/>
      <c r="L12" s="154"/>
      <c r="M12" s="7"/>
      <c r="N12" s="7"/>
      <c r="O12" s="7"/>
      <c r="P12" s="7"/>
      <c r="Q12" s="7"/>
      <c r="R12" s="7"/>
      <c r="S12" s="7"/>
      <c r="T12" s="7"/>
      <c r="U12" s="7"/>
      <c r="V12" s="7"/>
      <c r="W12" s="7"/>
      <c r="X12" s="7"/>
      <c r="Y12" s="7"/>
      <c r="Z12" s="7"/>
      <c r="AA12" s="7"/>
      <c r="AB12" s="7"/>
      <c r="AC12" s="7"/>
      <c r="AD12" s="7"/>
    </row>
    <row r="13" spans="2:30" s="8" customFormat="1" ht="31" x14ac:dyDescent="0.35">
      <c r="B13" s="222" t="s">
        <v>350</v>
      </c>
      <c r="C13" s="223" t="s">
        <v>197</v>
      </c>
      <c r="D13" s="224" t="s">
        <v>192</v>
      </c>
      <c r="E13" s="149">
        <v>1</v>
      </c>
      <c r="F13" s="181"/>
      <c r="G13" s="183"/>
      <c r="H13" s="166"/>
      <c r="I13" s="155"/>
      <c r="J13" s="155"/>
      <c r="K13" s="155"/>
      <c r="L13" s="154"/>
      <c r="M13" s="7"/>
      <c r="N13" s="7"/>
      <c r="O13" s="7"/>
      <c r="P13" s="7"/>
      <c r="Q13" s="7"/>
      <c r="R13" s="7"/>
      <c r="S13" s="7"/>
      <c r="T13" s="7"/>
      <c r="U13" s="7"/>
      <c r="V13" s="7"/>
      <c r="W13" s="7"/>
      <c r="X13" s="7"/>
      <c r="Y13" s="7"/>
      <c r="Z13" s="7"/>
      <c r="AA13" s="7"/>
      <c r="AB13" s="7"/>
      <c r="AC13" s="7"/>
      <c r="AD13" s="7"/>
    </row>
    <row r="14" spans="2:30" ht="35.25" customHeight="1" thickBot="1" x14ac:dyDescent="0.4">
      <c r="B14" s="220" t="s">
        <v>360</v>
      </c>
      <c r="C14" s="221"/>
      <c r="D14" s="221"/>
      <c r="E14" s="221"/>
      <c r="F14" s="151"/>
      <c r="G14" s="126"/>
      <c r="H14" s="162">
        <f>SUM(H3:H13)</f>
        <v>0</v>
      </c>
      <c r="I14" s="217"/>
      <c r="J14" s="218"/>
      <c r="K14" s="218"/>
      <c r="L14" s="219"/>
    </row>
    <row r="16" spans="2:30" ht="78.75" customHeight="1" x14ac:dyDescent="0.35">
      <c r="B16" s="211" t="s">
        <v>394</v>
      </c>
      <c r="C16" s="212"/>
      <c r="D16" s="212"/>
      <c r="E16" s="212"/>
      <c r="F16" s="212"/>
      <c r="G16" s="212"/>
      <c r="H16" s="212"/>
      <c r="I16" s="212"/>
      <c r="J16" s="212"/>
      <c r="K16" s="212"/>
      <c r="L16" s="213"/>
    </row>
  </sheetData>
  <mergeCells count="3">
    <mergeCell ref="I14:L14"/>
    <mergeCell ref="B16:L16"/>
    <mergeCell ref="B14:E14"/>
  </mergeCells>
  <pageMargins left="0.7" right="0.7" top="0.75" bottom="0.75" header="0.3" footer="0.3"/>
  <pageSetup paperSize="9"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zoomScale="80" zoomScaleNormal="80" workbookViewId="0">
      <selection activeCell="D28" sqref="D28"/>
    </sheetView>
  </sheetViews>
  <sheetFormatPr defaultRowHeight="14.5" x14ac:dyDescent="0.35"/>
  <cols>
    <col min="1" max="1" width="2.1796875" customWidth="1"/>
    <col min="2" max="2" width="12.81640625" customWidth="1"/>
    <col min="3" max="3" width="66" customWidth="1"/>
    <col min="4" max="4" width="21.7265625" customWidth="1"/>
    <col min="5" max="5" width="14.26953125" customWidth="1"/>
    <col min="6" max="6" width="21.1796875" customWidth="1"/>
    <col min="7" max="7" width="50.453125" customWidth="1"/>
    <col min="10" max="10" width="16.7265625" bestFit="1" customWidth="1"/>
  </cols>
  <sheetData>
    <row r="1" spans="2:8" ht="15" thickBot="1" x14ac:dyDescent="0.4"/>
    <row r="2" spans="2:8" ht="110.5" customHeight="1" x14ac:dyDescent="0.35">
      <c r="B2" s="105" t="s">
        <v>354</v>
      </c>
      <c r="C2" s="106" t="s">
        <v>9</v>
      </c>
      <c r="D2" s="106" t="s">
        <v>10</v>
      </c>
      <c r="E2" s="106" t="s">
        <v>11</v>
      </c>
      <c r="F2" s="106" t="s">
        <v>230</v>
      </c>
      <c r="G2" s="107" t="s">
        <v>12</v>
      </c>
    </row>
    <row r="3" spans="2:8" ht="15.5" x14ac:dyDescent="0.35">
      <c r="B3" s="108" t="s">
        <v>355</v>
      </c>
      <c r="C3" s="2" t="s">
        <v>356</v>
      </c>
      <c r="D3" s="14">
        <v>2700000</v>
      </c>
      <c r="E3" s="3">
        <v>0</v>
      </c>
      <c r="F3" s="29">
        <f>D3*(1-E3)</f>
        <v>2700000</v>
      </c>
      <c r="G3" s="109"/>
    </row>
    <row r="4" spans="2:8" ht="32.25" customHeight="1" thickBot="1" x14ac:dyDescent="0.4">
      <c r="B4" s="187" t="s">
        <v>357</v>
      </c>
      <c r="C4" s="188"/>
      <c r="D4" s="188"/>
      <c r="E4" s="189"/>
      <c r="F4" s="112">
        <f>SUM(F3:F3)</f>
        <v>2700000</v>
      </c>
      <c r="G4" s="114"/>
    </row>
    <row r="5" spans="2:8" ht="15.5" x14ac:dyDescent="0.35">
      <c r="B5" s="10"/>
      <c r="C5" s="11"/>
      <c r="D5" s="12"/>
      <c r="E5" s="12"/>
      <c r="F5" s="1"/>
      <c r="G5" s="1"/>
      <c r="H5" s="1"/>
    </row>
    <row r="6" spans="2:8" ht="56.25" customHeight="1" x14ac:dyDescent="0.35">
      <c r="B6" s="186" t="s">
        <v>352</v>
      </c>
      <c r="C6" s="186"/>
      <c r="D6" s="186"/>
      <c r="E6" s="186"/>
      <c r="F6" s="186"/>
      <c r="G6" s="186"/>
    </row>
    <row r="7" spans="2:8" x14ac:dyDescent="0.35">
      <c r="G7" s="13"/>
    </row>
    <row r="27" ht="15.65" customHeight="1" x14ac:dyDescent="0.35"/>
    <row r="28" ht="18.649999999999999" customHeight="1" x14ac:dyDescent="0.35"/>
    <row r="29" ht="14.15" customHeight="1" x14ac:dyDescent="0.35"/>
  </sheetData>
  <mergeCells count="2">
    <mergeCell ref="B4:E4"/>
    <mergeCell ref="B6:G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3F46B60E951C468E5314CC5CA33D05" ma:contentTypeVersion="0" ma:contentTypeDescription="Create a new document." ma:contentTypeScope="" ma:versionID="cee01fd73ba4334f0148398fa98d4128">
  <xsd:schema xmlns:xsd="http://www.w3.org/2001/XMLSchema" xmlns:xs="http://www.w3.org/2001/XMLSchema" xmlns:p="http://schemas.microsoft.com/office/2006/metadata/properties" xmlns:ns2="http://schemas.microsoft.com/sharepoint/v3/fields" targetNamespace="http://schemas.microsoft.com/office/2006/metadata/properties" ma:root="true" ma:fieldsID="44bc3ccea7c927039c22391ff1848ebd" ns2:_="">
    <xsd:import namespace="http://schemas.microsoft.com/sharepoint/v3/fields"/>
    <xsd:element name="properties">
      <xsd:complexType>
        <xsd:sequence>
          <xsd:element name="documentManagement">
            <xsd:complexType>
              <xsd:all>
                <xsd:element ref="ns2:_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8" nillable="true" ma:displayName="Status" ma:default="Support/Reference Document" ma:format="Dropdown" ma:internalName="_Status">
      <xsd:simpleType>
        <xsd:restriction base="dms:Choice">
          <xsd:enumeration value="Support/Reference Document"/>
          <xsd:enumeration value="Product Created/Draft/For Coordination"/>
          <xsd:enumeration value="Product Released/For Signature"/>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Status xmlns="http://schemas.microsoft.com/sharepoint/v3/fields">Support/Reference Document</_Status>
  </documentManagement>
</p:properties>
</file>

<file path=customXml/itemProps1.xml><?xml version="1.0" encoding="utf-8"?>
<ds:datastoreItem xmlns:ds="http://schemas.openxmlformats.org/officeDocument/2006/customXml" ds:itemID="{DB36A76B-27AD-407F-BE20-BFE284BB6EEA}">
  <ds:schemaRefs>
    <ds:schemaRef ds:uri="http://schemas.microsoft.com/sharepoint/v3/contenttype/forms"/>
  </ds:schemaRefs>
</ds:datastoreItem>
</file>

<file path=customXml/itemProps2.xml><?xml version="1.0" encoding="utf-8"?>
<ds:datastoreItem xmlns:ds="http://schemas.openxmlformats.org/officeDocument/2006/customXml" ds:itemID="{871E7EDA-6836-4496-8EF5-4AADD9A55A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99713A-DEAD-4DF6-AA97-BEFA487AB23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sharepoint/v3/field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Sch.A Offer Summary</vt:lpstr>
      <vt:lpstr>CLIN 1-DELL GPL</vt:lpstr>
      <vt:lpstr>CLIN 2-HP GPL</vt:lpstr>
      <vt:lpstr>CLIN 3-Engineering Services</vt:lpstr>
      <vt:lpstr>CLIN 4-PHS&amp;T</vt:lpstr>
      <vt:lpstr>CLIN 6-DELL Tempesting</vt:lpstr>
      <vt:lpstr>CLIN 7-HP Tempesting</vt:lpstr>
      <vt:lpstr>CLIN 8-KVM Switches Tempesting</vt:lpstr>
      <vt:lpstr>CLIN 9-KVM Switches</vt:lpstr>
      <vt:lpstr>currencies list</vt:lpstr>
    </vt:vector>
  </TitlesOfParts>
  <Manager/>
  <Company>NCIA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Bidding Sheets</dc:title>
  <dc:subject/>
  <dc:creator>Bozoudis Michail</dc:creator>
  <cp:keywords/>
  <dc:description/>
  <cp:lastModifiedBy>Benson Eva</cp:lastModifiedBy>
  <dcterms:created xsi:type="dcterms:W3CDTF">2017-07-10T07:03:59Z</dcterms:created>
  <dcterms:modified xsi:type="dcterms:W3CDTF">2022-11-22T14:50:31Z</dcterms:modified>
  <cp:category/>
  <cp:contentStatus>Product Created/Draft/For Coordination</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0x0101008D3F46B60E951C468E5314CC5CA33D05</vt:lpwstr>
  </property>
</Properties>
</file>