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10215" firstSheet="4" activeTab="6"/>
  </bookViews>
  <sheets>
    <sheet name="Appendix A_MDS HBTX_Test-Rig" sheetId="1" r:id="rId1"/>
    <sheet name="Appendix A_MDSO10x_DCIS_UTSGT" sheetId="2" r:id="rId2"/>
    <sheet name="Appendix A_MDS OLAX_DCIS_T2" sheetId="3" r:id="rId3"/>
    <sheet name="Appendix A_ OLPX_DACCC_T2" sheetId="4" r:id="rId4"/>
    <sheet name="Appendix A_OTAX_DCIS_T1" sheetId="5" r:id="rId5"/>
    <sheet name="Appendix A_OTPX_DACCC_T1" sheetId="6" r:id="rId6"/>
    <sheet name="Appendix A_POAX_Training" sheetId="7" r:id="rId7"/>
  </sheets>
  <calcPr calcId="162913"/>
</workbook>
</file>

<file path=xl/calcChain.xml><?xml version="1.0" encoding="utf-8"?>
<calcChain xmlns="http://schemas.openxmlformats.org/spreadsheetml/2006/main">
  <c r="AA15" i="6" l="1"/>
  <c r="Z15" i="6"/>
  <c r="Y15" i="6"/>
  <c r="X15" i="6"/>
  <c r="V15" i="6"/>
  <c r="U15" i="6"/>
  <c r="T15" i="6"/>
  <c r="M15" i="6"/>
  <c r="L15" i="6"/>
  <c r="J15" i="6"/>
  <c r="AA14" i="6"/>
  <c r="Z14" i="6"/>
  <c r="Y14" i="6"/>
  <c r="X14" i="6"/>
  <c r="V14" i="6"/>
  <c r="U14" i="6"/>
  <c r="T14" i="6"/>
  <c r="M14" i="6"/>
  <c r="L14" i="6"/>
  <c r="J14" i="6"/>
  <c r="AA13" i="6"/>
  <c r="Z13" i="6"/>
  <c r="Y13" i="6"/>
  <c r="X13" i="6"/>
  <c r="V13" i="6"/>
  <c r="U13" i="6"/>
  <c r="T13" i="6"/>
  <c r="M13" i="6"/>
  <c r="L13" i="6"/>
  <c r="J13" i="6"/>
  <c r="AA12" i="6"/>
  <c r="Z12" i="6"/>
  <c r="Y12" i="6"/>
  <c r="X12" i="6"/>
  <c r="V12" i="6"/>
  <c r="U12" i="6"/>
  <c r="T12" i="6"/>
  <c r="M12" i="6"/>
  <c r="L12" i="6"/>
  <c r="J12" i="6"/>
  <c r="AA11" i="6"/>
  <c r="Z11" i="6"/>
  <c r="Y11" i="6"/>
  <c r="X11" i="6"/>
  <c r="V11" i="6"/>
  <c r="U11" i="6"/>
  <c r="T11" i="6"/>
  <c r="M11" i="6"/>
  <c r="L11" i="6"/>
  <c r="J11" i="6"/>
  <c r="AA10" i="6"/>
  <c r="Z10" i="6"/>
  <c r="Y10" i="6"/>
  <c r="X10" i="6"/>
  <c r="V10" i="6"/>
  <c r="U10" i="6"/>
  <c r="T10" i="6"/>
  <c r="M10" i="6"/>
  <c r="L10" i="6"/>
  <c r="J10" i="6"/>
  <c r="AA9" i="6"/>
  <c r="Z9" i="6"/>
  <c r="Y9" i="6"/>
  <c r="X9" i="6"/>
  <c r="V9" i="6"/>
  <c r="U9" i="6"/>
  <c r="T9" i="6"/>
  <c r="M9" i="6"/>
  <c r="L9" i="6"/>
  <c r="J9" i="6"/>
  <c r="AA8" i="6"/>
  <c r="Z8" i="6"/>
  <c r="Y8" i="6"/>
  <c r="X8" i="6"/>
  <c r="V8" i="6"/>
  <c r="U8" i="6"/>
  <c r="T8" i="6"/>
  <c r="M8" i="6"/>
  <c r="L8" i="6"/>
  <c r="J8" i="6"/>
  <c r="AA7" i="6"/>
  <c r="Z7" i="6"/>
  <c r="Y7" i="6"/>
  <c r="X7" i="6"/>
  <c r="V7" i="6"/>
  <c r="U7" i="6"/>
  <c r="T7" i="6"/>
  <c r="M7" i="6"/>
  <c r="L7" i="6"/>
  <c r="J7" i="6"/>
  <c r="AA6" i="6"/>
  <c r="Z6" i="6"/>
  <c r="Y6" i="6"/>
  <c r="X6" i="6"/>
  <c r="V6" i="6"/>
  <c r="U6" i="6"/>
  <c r="T6" i="6"/>
  <c r="M6" i="6"/>
  <c r="L6" i="6"/>
  <c r="J6" i="6"/>
  <c r="AA5" i="6"/>
  <c r="Z5" i="6"/>
  <c r="Y5" i="6"/>
  <c r="X5" i="6"/>
  <c r="V5" i="6"/>
  <c r="U5" i="6"/>
  <c r="T5" i="6"/>
  <c r="M5" i="6"/>
  <c r="L5" i="6"/>
  <c r="J5" i="6"/>
  <c r="AA4" i="6"/>
  <c r="Z4" i="6"/>
  <c r="Y4" i="6"/>
  <c r="X4" i="6"/>
  <c r="V4" i="6"/>
  <c r="U4" i="6"/>
  <c r="T4" i="6"/>
  <c r="M4" i="6"/>
  <c r="L4" i="6"/>
  <c r="J4" i="6"/>
  <c r="AA3" i="6"/>
  <c r="Z3" i="6"/>
  <c r="Y3" i="6"/>
  <c r="X3" i="6"/>
  <c r="V3" i="6"/>
  <c r="U3" i="6"/>
  <c r="T3" i="6"/>
  <c r="M3" i="6"/>
  <c r="L3" i="6"/>
  <c r="J3" i="6"/>
  <c r="AA2" i="6"/>
  <c r="Z2" i="6"/>
  <c r="Y2" i="6"/>
  <c r="X2" i="6"/>
  <c r="V2" i="6"/>
  <c r="U2" i="6"/>
  <c r="T2" i="6"/>
  <c r="M2" i="6"/>
  <c r="L2" i="6"/>
  <c r="J2" i="6"/>
  <c r="AA20" i="5" l="1"/>
  <c r="Z20" i="5"/>
  <c r="Y20" i="5"/>
  <c r="X20" i="5"/>
  <c r="V20" i="5"/>
  <c r="U20" i="5"/>
  <c r="T20" i="5"/>
  <c r="M20" i="5"/>
  <c r="L20" i="5"/>
  <c r="J20" i="5"/>
  <c r="AA19" i="5"/>
  <c r="Z19" i="5"/>
  <c r="Y19" i="5"/>
  <c r="X19" i="5"/>
  <c r="V19" i="5"/>
  <c r="U19" i="5"/>
  <c r="T19" i="5"/>
  <c r="M19" i="5"/>
  <c r="L19" i="5"/>
  <c r="J19" i="5"/>
  <c r="AA18" i="5"/>
  <c r="Z18" i="5"/>
  <c r="Y18" i="5"/>
  <c r="X18" i="5"/>
  <c r="V18" i="5"/>
  <c r="U18" i="5"/>
  <c r="T18" i="5"/>
  <c r="M18" i="5"/>
  <c r="L18" i="5"/>
  <c r="J18" i="5"/>
  <c r="AA17" i="5"/>
  <c r="Z17" i="5"/>
  <c r="Y17" i="5"/>
  <c r="X17" i="5"/>
  <c r="V17" i="5"/>
  <c r="U17" i="5"/>
  <c r="T17" i="5"/>
  <c r="M17" i="5"/>
  <c r="L17" i="5"/>
  <c r="J17" i="5"/>
  <c r="AA16" i="5"/>
  <c r="Z16" i="5"/>
  <c r="Y16" i="5"/>
  <c r="X16" i="5"/>
  <c r="V16" i="5"/>
  <c r="U16" i="5"/>
  <c r="T16" i="5"/>
  <c r="M16" i="5"/>
  <c r="L16" i="5"/>
  <c r="J16" i="5"/>
  <c r="AA15" i="5"/>
  <c r="Z15" i="5"/>
  <c r="Y15" i="5"/>
  <c r="X15" i="5"/>
  <c r="V15" i="5"/>
  <c r="U15" i="5"/>
  <c r="T15" i="5"/>
  <c r="M15" i="5"/>
  <c r="L15" i="5"/>
  <c r="J15" i="5"/>
  <c r="AA14" i="5"/>
  <c r="Z14" i="5"/>
  <c r="Y14" i="5"/>
  <c r="X14" i="5"/>
  <c r="V14" i="5"/>
  <c r="U14" i="5"/>
  <c r="T14" i="5"/>
  <c r="M14" i="5"/>
  <c r="L14" i="5"/>
  <c r="J14" i="5"/>
  <c r="AA13" i="5"/>
  <c r="Z13" i="5"/>
  <c r="Y13" i="5"/>
  <c r="X13" i="5"/>
  <c r="V13" i="5"/>
  <c r="U13" i="5"/>
  <c r="T13" i="5"/>
  <c r="M13" i="5"/>
  <c r="L13" i="5"/>
  <c r="J13" i="5"/>
  <c r="AA12" i="5"/>
  <c r="Z12" i="5"/>
  <c r="Y12" i="5"/>
  <c r="X12" i="5"/>
  <c r="V12" i="5"/>
  <c r="U12" i="5"/>
  <c r="T12" i="5"/>
  <c r="M12" i="5"/>
  <c r="L12" i="5"/>
  <c r="J12" i="5"/>
  <c r="AA11" i="5"/>
  <c r="Z11" i="5"/>
  <c r="Y11" i="5"/>
  <c r="X11" i="5"/>
  <c r="V11" i="5"/>
  <c r="U11" i="5"/>
  <c r="T11" i="5"/>
  <c r="M11" i="5"/>
  <c r="L11" i="5"/>
  <c r="J11" i="5"/>
  <c r="AA10" i="5"/>
  <c r="Z10" i="5"/>
  <c r="Y10" i="5"/>
  <c r="X10" i="5"/>
  <c r="V10" i="5"/>
  <c r="U10" i="5"/>
  <c r="T10" i="5"/>
  <c r="M10" i="5"/>
  <c r="L10" i="5"/>
  <c r="J10" i="5"/>
  <c r="AA9" i="5"/>
  <c r="Z9" i="5"/>
  <c r="Y9" i="5"/>
  <c r="X9" i="5"/>
  <c r="V9" i="5"/>
  <c r="U9" i="5"/>
  <c r="T9" i="5"/>
  <c r="M9" i="5"/>
  <c r="L9" i="5"/>
  <c r="J9" i="5"/>
  <c r="AA8" i="5"/>
  <c r="Z8" i="5"/>
  <c r="Y8" i="5"/>
  <c r="X8" i="5"/>
  <c r="V8" i="5"/>
  <c r="U8" i="5"/>
  <c r="T8" i="5"/>
  <c r="M8" i="5"/>
  <c r="L8" i="5"/>
  <c r="J8" i="5"/>
  <c r="AA7" i="5"/>
  <c r="Z7" i="5"/>
  <c r="Y7" i="5"/>
  <c r="X7" i="5"/>
  <c r="V7" i="5"/>
  <c r="U7" i="5"/>
  <c r="T7" i="5"/>
  <c r="M7" i="5"/>
  <c r="L7" i="5"/>
  <c r="J7" i="5"/>
  <c r="AA6" i="5"/>
  <c r="Z6" i="5"/>
  <c r="Y6" i="5"/>
  <c r="X6" i="5"/>
  <c r="V6" i="5"/>
  <c r="U6" i="5"/>
  <c r="T6" i="5"/>
  <c r="M6" i="5"/>
  <c r="L6" i="5"/>
  <c r="J6" i="5"/>
  <c r="AA5" i="5"/>
  <c r="Z5" i="5"/>
  <c r="Y5" i="5"/>
  <c r="X5" i="5"/>
  <c r="V5" i="5"/>
  <c r="U5" i="5"/>
  <c r="T5" i="5"/>
  <c r="M5" i="5"/>
  <c r="L5" i="5"/>
  <c r="J5" i="5"/>
  <c r="AA4" i="5"/>
  <c r="Z4" i="5"/>
  <c r="Y4" i="5"/>
  <c r="X4" i="5"/>
  <c r="V4" i="5"/>
  <c r="U4" i="5"/>
  <c r="T4" i="5"/>
  <c r="M4" i="5"/>
  <c r="L4" i="5"/>
  <c r="J4" i="5"/>
  <c r="AA3" i="5"/>
  <c r="Z3" i="5"/>
  <c r="Y3" i="5"/>
  <c r="X3" i="5"/>
  <c r="V3" i="5"/>
  <c r="U3" i="5"/>
  <c r="T3" i="5"/>
  <c r="M3" i="5"/>
  <c r="L3" i="5"/>
  <c r="J3" i="5"/>
  <c r="AA2" i="5"/>
  <c r="Z2" i="5"/>
  <c r="Y2" i="5"/>
  <c r="X2" i="5"/>
  <c r="V2" i="5"/>
  <c r="U2" i="5"/>
  <c r="T2" i="5"/>
  <c r="M2" i="5"/>
  <c r="L2" i="5"/>
  <c r="J2" i="5"/>
  <c r="AA156" i="4" l="1"/>
  <c r="Z156" i="4"/>
  <c r="Y156" i="4"/>
  <c r="X156" i="4"/>
  <c r="V156" i="4"/>
  <c r="U156" i="4"/>
  <c r="T156" i="4"/>
  <c r="M156" i="4"/>
  <c r="L156" i="4"/>
  <c r="J156" i="4"/>
  <c r="AA155" i="4"/>
  <c r="Z155" i="4"/>
  <c r="Y155" i="4"/>
  <c r="X155" i="4"/>
  <c r="V155" i="4"/>
  <c r="U155" i="4"/>
  <c r="T155" i="4"/>
  <c r="M155" i="4"/>
  <c r="L155" i="4"/>
  <c r="J155" i="4"/>
  <c r="AA154" i="4"/>
  <c r="Z154" i="4"/>
  <c r="Y154" i="4"/>
  <c r="X154" i="4"/>
  <c r="V154" i="4"/>
  <c r="U154" i="4"/>
  <c r="T154" i="4"/>
  <c r="M154" i="4"/>
  <c r="L154" i="4"/>
  <c r="J154" i="4"/>
  <c r="AA153" i="4"/>
  <c r="Z153" i="4"/>
  <c r="Y153" i="4"/>
  <c r="X153" i="4"/>
  <c r="V153" i="4"/>
  <c r="U153" i="4"/>
  <c r="T153" i="4"/>
  <c r="M153" i="4"/>
  <c r="L153" i="4"/>
  <c r="J153" i="4"/>
  <c r="AA152" i="4"/>
  <c r="Z152" i="4"/>
  <c r="Y152" i="4"/>
  <c r="X152" i="4"/>
  <c r="V152" i="4"/>
  <c r="U152" i="4"/>
  <c r="T152" i="4"/>
  <c r="M152" i="4"/>
  <c r="L152" i="4"/>
  <c r="J152" i="4"/>
  <c r="AA151" i="4"/>
  <c r="Z151" i="4"/>
  <c r="Y151" i="4"/>
  <c r="X151" i="4"/>
  <c r="V151" i="4"/>
  <c r="U151" i="4"/>
  <c r="T151" i="4"/>
  <c r="M151" i="4"/>
  <c r="L151" i="4"/>
  <c r="J151" i="4"/>
  <c r="AA150" i="4"/>
  <c r="Z150" i="4"/>
  <c r="Y150" i="4"/>
  <c r="X150" i="4"/>
  <c r="V150" i="4"/>
  <c r="U150" i="4"/>
  <c r="T150" i="4"/>
  <c r="M150" i="4"/>
  <c r="L150" i="4"/>
  <c r="J150" i="4"/>
  <c r="AA149" i="4"/>
  <c r="Z149" i="4"/>
  <c r="Y149" i="4"/>
  <c r="X149" i="4"/>
  <c r="V149" i="4"/>
  <c r="U149" i="4"/>
  <c r="T149" i="4"/>
  <c r="M149" i="4"/>
  <c r="L149" i="4"/>
  <c r="J149" i="4"/>
  <c r="AA148" i="4"/>
  <c r="Z148" i="4"/>
  <c r="Y148" i="4"/>
  <c r="X148" i="4"/>
  <c r="V148" i="4"/>
  <c r="U148" i="4"/>
  <c r="T148" i="4"/>
  <c r="M148" i="4"/>
  <c r="L148" i="4"/>
  <c r="J148" i="4"/>
  <c r="AA147" i="4"/>
  <c r="Z147" i="4"/>
  <c r="Y147" i="4"/>
  <c r="X147" i="4"/>
  <c r="V147" i="4"/>
  <c r="U147" i="4"/>
  <c r="T147" i="4"/>
  <c r="M147" i="4"/>
  <c r="L147" i="4"/>
  <c r="J147" i="4"/>
  <c r="AA146" i="4"/>
  <c r="Z146" i="4"/>
  <c r="Y146" i="4"/>
  <c r="X146" i="4"/>
  <c r="V146" i="4"/>
  <c r="U146" i="4"/>
  <c r="T146" i="4"/>
  <c r="M146" i="4"/>
  <c r="L146" i="4"/>
  <c r="J146" i="4"/>
  <c r="AA145" i="4"/>
  <c r="Z145" i="4"/>
  <c r="Y145" i="4"/>
  <c r="X145" i="4"/>
  <c r="V145" i="4"/>
  <c r="U145" i="4"/>
  <c r="T145" i="4"/>
  <c r="M145" i="4"/>
  <c r="L145" i="4"/>
  <c r="J145" i="4"/>
  <c r="AA144" i="4"/>
  <c r="Z144" i="4"/>
  <c r="Y144" i="4"/>
  <c r="X144" i="4"/>
  <c r="V144" i="4"/>
  <c r="U144" i="4"/>
  <c r="T144" i="4"/>
  <c r="M144" i="4"/>
  <c r="L144" i="4"/>
  <c r="J144" i="4"/>
  <c r="AA143" i="4"/>
  <c r="Z143" i="4"/>
  <c r="Y143" i="4"/>
  <c r="X143" i="4"/>
  <c r="V143" i="4"/>
  <c r="U143" i="4"/>
  <c r="T143" i="4"/>
  <c r="M143" i="4"/>
  <c r="L143" i="4"/>
  <c r="J143" i="4"/>
  <c r="AA142" i="4"/>
  <c r="Z142" i="4"/>
  <c r="Y142" i="4"/>
  <c r="X142" i="4"/>
  <c r="V142" i="4"/>
  <c r="U142" i="4"/>
  <c r="T142" i="4"/>
  <c r="M142" i="4"/>
  <c r="L142" i="4"/>
  <c r="J142" i="4"/>
  <c r="AA141" i="4"/>
  <c r="Z141" i="4"/>
  <c r="Y141" i="4"/>
  <c r="X141" i="4"/>
  <c r="V141" i="4"/>
  <c r="U141" i="4"/>
  <c r="T141" i="4"/>
  <c r="M141" i="4"/>
  <c r="L141" i="4"/>
  <c r="J141" i="4"/>
  <c r="AA140" i="4"/>
  <c r="Z140" i="4"/>
  <c r="Y140" i="4"/>
  <c r="X140" i="4"/>
  <c r="V140" i="4"/>
  <c r="U140" i="4"/>
  <c r="T140" i="4"/>
  <c r="M140" i="4"/>
  <c r="L140" i="4"/>
  <c r="J140" i="4"/>
  <c r="AA139" i="4"/>
  <c r="Z139" i="4"/>
  <c r="Y139" i="4"/>
  <c r="X139" i="4"/>
  <c r="V139" i="4"/>
  <c r="U139" i="4"/>
  <c r="T139" i="4"/>
  <c r="M139" i="4"/>
  <c r="L139" i="4"/>
  <c r="J139" i="4"/>
  <c r="AA138" i="4"/>
  <c r="Z138" i="4"/>
  <c r="Y138" i="4"/>
  <c r="X138" i="4"/>
  <c r="V138" i="4"/>
  <c r="U138" i="4"/>
  <c r="T138" i="4"/>
  <c r="M138" i="4"/>
  <c r="L138" i="4"/>
  <c r="J138" i="4"/>
  <c r="AA137" i="4"/>
  <c r="Z137" i="4"/>
  <c r="Y137" i="4"/>
  <c r="X137" i="4"/>
  <c r="V137" i="4"/>
  <c r="U137" i="4"/>
  <c r="T137" i="4"/>
  <c r="M137" i="4"/>
  <c r="L137" i="4"/>
  <c r="J137" i="4"/>
  <c r="AA136" i="4"/>
  <c r="Z136" i="4"/>
  <c r="Y136" i="4"/>
  <c r="X136" i="4"/>
  <c r="V136" i="4"/>
  <c r="U136" i="4"/>
  <c r="T136" i="4"/>
  <c r="M136" i="4"/>
  <c r="L136" i="4"/>
  <c r="J136" i="4"/>
  <c r="AA135" i="4"/>
  <c r="Z135" i="4"/>
  <c r="Y135" i="4"/>
  <c r="X135" i="4"/>
  <c r="V135" i="4"/>
  <c r="U135" i="4"/>
  <c r="T135" i="4"/>
  <c r="M135" i="4"/>
  <c r="L135" i="4"/>
  <c r="J135" i="4"/>
  <c r="AA134" i="4"/>
  <c r="Z134" i="4"/>
  <c r="Y134" i="4"/>
  <c r="X134" i="4"/>
  <c r="V134" i="4"/>
  <c r="U134" i="4"/>
  <c r="T134" i="4"/>
  <c r="M134" i="4"/>
  <c r="L134" i="4"/>
  <c r="J134" i="4"/>
  <c r="AA133" i="4"/>
  <c r="Z133" i="4"/>
  <c r="Y133" i="4"/>
  <c r="X133" i="4"/>
  <c r="V133" i="4"/>
  <c r="U133" i="4"/>
  <c r="T133" i="4"/>
  <c r="M133" i="4"/>
  <c r="L133" i="4"/>
  <c r="J133" i="4"/>
  <c r="AA132" i="4"/>
  <c r="Z132" i="4"/>
  <c r="Y132" i="4"/>
  <c r="X132" i="4"/>
  <c r="V132" i="4"/>
  <c r="U132" i="4"/>
  <c r="T132" i="4"/>
  <c r="M132" i="4"/>
  <c r="L132" i="4"/>
  <c r="J132" i="4"/>
  <c r="AA131" i="4"/>
  <c r="Z131" i="4"/>
  <c r="Y131" i="4"/>
  <c r="X131" i="4"/>
  <c r="V131" i="4"/>
  <c r="U131" i="4"/>
  <c r="T131" i="4"/>
  <c r="M131" i="4"/>
  <c r="L131" i="4"/>
  <c r="J131" i="4"/>
  <c r="AA130" i="4"/>
  <c r="Z130" i="4"/>
  <c r="Y130" i="4"/>
  <c r="X130" i="4"/>
  <c r="V130" i="4"/>
  <c r="U130" i="4"/>
  <c r="T130" i="4"/>
  <c r="M130" i="4"/>
  <c r="L130" i="4"/>
  <c r="J130" i="4"/>
  <c r="AA129" i="4"/>
  <c r="Z129" i="4"/>
  <c r="Y129" i="4"/>
  <c r="X129" i="4"/>
  <c r="V129" i="4"/>
  <c r="U129" i="4"/>
  <c r="T129" i="4"/>
  <c r="M129" i="4"/>
  <c r="L129" i="4"/>
  <c r="J129" i="4"/>
  <c r="AA128" i="4"/>
  <c r="Z128" i="4"/>
  <c r="Y128" i="4"/>
  <c r="X128" i="4"/>
  <c r="V128" i="4"/>
  <c r="U128" i="4"/>
  <c r="T128" i="4"/>
  <c r="M128" i="4"/>
  <c r="L128" i="4"/>
  <c r="J128" i="4"/>
  <c r="AA127" i="4"/>
  <c r="Z127" i="4"/>
  <c r="Y127" i="4"/>
  <c r="X127" i="4"/>
  <c r="V127" i="4"/>
  <c r="U127" i="4"/>
  <c r="T127" i="4"/>
  <c r="M127" i="4"/>
  <c r="L127" i="4"/>
  <c r="J127" i="4"/>
  <c r="AA126" i="4"/>
  <c r="Z126" i="4"/>
  <c r="Y126" i="4"/>
  <c r="X126" i="4"/>
  <c r="V126" i="4"/>
  <c r="U126" i="4"/>
  <c r="T126" i="4"/>
  <c r="M126" i="4"/>
  <c r="L126" i="4"/>
  <c r="J126" i="4"/>
  <c r="AA125" i="4"/>
  <c r="Z125" i="4"/>
  <c r="Y125" i="4"/>
  <c r="X125" i="4"/>
  <c r="V125" i="4"/>
  <c r="U125" i="4"/>
  <c r="T125" i="4"/>
  <c r="M125" i="4"/>
  <c r="L125" i="4"/>
  <c r="J125" i="4"/>
  <c r="AA124" i="4"/>
  <c r="Z124" i="4"/>
  <c r="Y124" i="4"/>
  <c r="X124" i="4"/>
  <c r="V124" i="4"/>
  <c r="U124" i="4"/>
  <c r="T124" i="4"/>
  <c r="M124" i="4"/>
  <c r="L124" i="4"/>
  <c r="J124" i="4"/>
  <c r="AA123" i="4"/>
  <c r="Z123" i="4"/>
  <c r="Y123" i="4"/>
  <c r="X123" i="4"/>
  <c r="V123" i="4"/>
  <c r="U123" i="4"/>
  <c r="T123" i="4"/>
  <c r="M123" i="4"/>
  <c r="L123" i="4"/>
  <c r="J123" i="4"/>
  <c r="AA122" i="4"/>
  <c r="Z122" i="4"/>
  <c r="Y122" i="4"/>
  <c r="X122" i="4"/>
  <c r="V122" i="4"/>
  <c r="U122" i="4"/>
  <c r="T122" i="4"/>
  <c r="M122" i="4"/>
  <c r="L122" i="4"/>
  <c r="J122" i="4"/>
  <c r="AA121" i="4"/>
  <c r="Z121" i="4"/>
  <c r="Y121" i="4"/>
  <c r="X121" i="4"/>
  <c r="V121" i="4"/>
  <c r="U121" i="4"/>
  <c r="T121" i="4"/>
  <c r="M121" i="4"/>
  <c r="L121" i="4"/>
  <c r="J121" i="4"/>
  <c r="AA120" i="4"/>
  <c r="Z120" i="4"/>
  <c r="Y120" i="4"/>
  <c r="X120" i="4"/>
  <c r="V120" i="4"/>
  <c r="U120" i="4"/>
  <c r="T120" i="4"/>
  <c r="M120" i="4"/>
  <c r="L120" i="4"/>
  <c r="J120" i="4"/>
  <c r="AA119" i="4"/>
  <c r="Z119" i="4"/>
  <c r="Y119" i="4"/>
  <c r="X119" i="4"/>
  <c r="V119" i="4"/>
  <c r="U119" i="4"/>
  <c r="T119" i="4"/>
  <c r="M119" i="4"/>
  <c r="L119" i="4"/>
  <c r="J119" i="4"/>
  <c r="AA118" i="4"/>
  <c r="Z118" i="4"/>
  <c r="Y118" i="4"/>
  <c r="X118" i="4"/>
  <c r="V118" i="4"/>
  <c r="U118" i="4"/>
  <c r="T118" i="4"/>
  <c r="M118" i="4"/>
  <c r="L118" i="4"/>
  <c r="J118" i="4"/>
  <c r="AA117" i="4"/>
  <c r="Z117" i="4"/>
  <c r="Y117" i="4"/>
  <c r="X117" i="4"/>
  <c r="V117" i="4"/>
  <c r="U117" i="4"/>
  <c r="T117" i="4"/>
  <c r="M117" i="4"/>
  <c r="L117" i="4"/>
  <c r="J117" i="4"/>
  <c r="AA116" i="4"/>
  <c r="Z116" i="4"/>
  <c r="Y116" i="4"/>
  <c r="X116" i="4"/>
  <c r="V116" i="4"/>
  <c r="U116" i="4"/>
  <c r="T116" i="4"/>
  <c r="M116" i="4"/>
  <c r="L116" i="4"/>
  <c r="J116" i="4"/>
  <c r="AA115" i="4"/>
  <c r="Z115" i="4"/>
  <c r="Y115" i="4"/>
  <c r="X115" i="4"/>
  <c r="V115" i="4"/>
  <c r="U115" i="4"/>
  <c r="T115" i="4"/>
  <c r="M115" i="4"/>
  <c r="L115" i="4"/>
  <c r="J115" i="4"/>
  <c r="AA114" i="4"/>
  <c r="Z114" i="4"/>
  <c r="Y114" i="4"/>
  <c r="X114" i="4"/>
  <c r="V114" i="4"/>
  <c r="U114" i="4"/>
  <c r="T114" i="4"/>
  <c r="M114" i="4"/>
  <c r="L114" i="4"/>
  <c r="J114" i="4"/>
  <c r="AA113" i="4"/>
  <c r="Z113" i="4"/>
  <c r="Y113" i="4"/>
  <c r="X113" i="4"/>
  <c r="V113" i="4"/>
  <c r="U113" i="4"/>
  <c r="T113" i="4"/>
  <c r="M113" i="4"/>
  <c r="L113" i="4"/>
  <c r="J113" i="4"/>
  <c r="AA112" i="4"/>
  <c r="Z112" i="4"/>
  <c r="Y112" i="4"/>
  <c r="X112" i="4"/>
  <c r="V112" i="4"/>
  <c r="U112" i="4"/>
  <c r="T112" i="4"/>
  <c r="M112" i="4"/>
  <c r="L112" i="4"/>
  <c r="J112" i="4"/>
  <c r="AA111" i="4"/>
  <c r="Z111" i="4"/>
  <c r="Y111" i="4"/>
  <c r="X111" i="4"/>
  <c r="V111" i="4"/>
  <c r="U111" i="4"/>
  <c r="T111" i="4"/>
  <c r="M111" i="4"/>
  <c r="L111" i="4"/>
  <c r="J111" i="4"/>
  <c r="AA110" i="4"/>
  <c r="Z110" i="4"/>
  <c r="Y110" i="4"/>
  <c r="X110" i="4"/>
  <c r="V110" i="4"/>
  <c r="U110" i="4"/>
  <c r="T110" i="4"/>
  <c r="M110" i="4"/>
  <c r="L110" i="4"/>
  <c r="J110" i="4"/>
  <c r="AA109" i="4"/>
  <c r="Z109" i="4"/>
  <c r="Y109" i="4"/>
  <c r="X109" i="4"/>
  <c r="V109" i="4"/>
  <c r="U109" i="4"/>
  <c r="T109" i="4"/>
  <c r="M109" i="4"/>
  <c r="L109" i="4"/>
  <c r="J109" i="4"/>
  <c r="AA108" i="4"/>
  <c r="Z108" i="4"/>
  <c r="Y108" i="4"/>
  <c r="X108" i="4"/>
  <c r="V108" i="4"/>
  <c r="U108" i="4"/>
  <c r="T108" i="4"/>
  <c r="M108" i="4"/>
  <c r="L108" i="4"/>
  <c r="J108" i="4"/>
  <c r="AA107" i="4"/>
  <c r="Z107" i="4"/>
  <c r="Y107" i="4"/>
  <c r="X107" i="4"/>
  <c r="V107" i="4"/>
  <c r="U107" i="4"/>
  <c r="T107" i="4"/>
  <c r="M107" i="4"/>
  <c r="L107" i="4"/>
  <c r="J107" i="4"/>
  <c r="AA106" i="4"/>
  <c r="Z106" i="4"/>
  <c r="Y106" i="4"/>
  <c r="X106" i="4"/>
  <c r="V106" i="4"/>
  <c r="U106" i="4"/>
  <c r="T106" i="4"/>
  <c r="M106" i="4"/>
  <c r="L106" i="4"/>
  <c r="J106" i="4"/>
  <c r="AA105" i="4"/>
  <c r="Z105" i="4"/>
  <c r="Y105" i="4"/>
  <c r="X105" i="4"/>
  <c r="V105" i="4"/>
  <c r="U105" i="4"/>
  <c r="T105" i="4"/>
  <c r="M105" i="4"/>
  <c r="L105" i="4"/>
  <c r="J105" i="4"/>
  <c r="AA104" i="4"/>
  <c r="Z104" i="4"/>
  <c r="Y104" i="4"/>
  <c r="X104" i="4"/>
  <c r="V104" i="4"/>
  <c r="U104" i="4"/>
  <c r="T104" i="4"/>
  <c r="M104" i="4"/>
  <c r="L104" i="4"/>
  <c r="J104" i="4"/>
  <c r="AA103" i="4"/>
  <c r="Z103" i="4"/>
  <c r="Y103" i="4"/>
  <c r="X103" i="4"/>
  <c r="V103" i="4"/>
  <c r="U103" i="4"/>
  <c r="T103" i="4"/>
  <c r="M103" i="4"/>
  <c r="L103" i="4"/>
  <c r="J103" i="4"/>
  <c r="AA102" i="4"/>
  <c r="Z102" i="4"/>
  <c r="Y102" i="4"/>
  <c r="X102" i="4"/>
  <c r="V102" i="4"/>
  <c r="U102" i="4"/>
  <c r="T102" i="4"/>
  <c r="M102" i="4"/>
  <c r="L102" i="4"/>
  <c r="J102" i="4"/>
  <c r="AA101" i="4"/>
  <c r="Z101" i="4"/>
  <c r="Y101" i="4"/>
  <c r="X101" i="4"/>
  <c r="V101" i="4"/>
  <c r="U101" i="4"/>
  <c r="T101" i="4"/>
  <c r="M101" i="4"/>
  <c r="L101" i="4"/>
  <c r="J101" i="4"/>
  <c r="AA100" i="4"/>
  <c r="Z100" i="4"/>
  <c r="Y100" i="4"/>
  <c r="X100" i="4"/>
  <c r="V100" i="4"/>
  <c r="U100" i="4"/>
  <c r="T100" i="4"/>
  <c r="M100" i="4"/>
  <c r="L100" i="4"/>
  <c r="J100" i="4"/>
  <c r="AA99" i="4"/>
  <c r="Z99" i="4"/>
  <c r="Y99" i="4"/>
  <c r="X99" i="4"/>
  <c r="V99" i="4"/>
  <c r="U99" i="4"/>
  <c r="T99" i="4"/>
  <c r="M99" i="4"/>
  <c r="L99" i="4"/>
  <c r="J99" i="4"/>
  <c r="AA98" i="4"/>
  <c r="Z98" i="4"/>
  <c r="Y98" i="4"/>
  <c r="X98" i="4"/>
  <c r="V98" i="4"/>
  <c r="U98" i="4"/>
  <c r="T98" i="4"/>
  <c r="M98" i="4"/>
  <c r="L98" i="4"/>
  <c r="J98" i="4"/>
  <c r="AA97" i="4"/>
  <c r="Z97" i="4"/>
  <c r="Y97" i="4"/>
  <c r="X97" i="4"/>
  <c r="V97" i="4"/>
  <c r="U97" i="4"/>
  <c r="T97" i="4"/>
  <c r="M97" i="4"/>
  <c r="L97" i="4"/>
  <c r="J97" i="4"/>
  <c r="AA96" i="4"/>
  <c r="Z96" i="4"/>
  <c r="Y96" i="4"/>
  <c r="X96" i="4"/>
  <c r="V96" i="4"/>
  <c r="U96" i="4"/>
  <c r="T96" i="4"/>
  <c r="M96" i="4"/>
  <c r="L96" i="4"/>
  <c r="J96" i="4"/>
  <c r="AA95" i="4"/>
  <c r="Z95" i="4"/>
  <c r="Y95" i="4"/>
  <c r="X95" i="4"/>
  <c r="V95" i="4"/>
  <c r="U95" i="4"/>
  <c r="T95" i="4"/>
  <c r="M95" i="4"/>
  <c r="L95" i="4"/>
  <c r="J95" i="4"/>
  <c r="AA94" i="4"/>
  <c r="Z94" i="4"/>
  <c r="Y94" i="4"/>
  <c r="X94" i="4"/>
  <c r="V94" i="4"/>
  <c r="U94" i="4"/>
  <c r="T94" i="4"/>
  <c r="M94" i="4"/>
  <c r="L94" i="4"/>
  <c r="J94" i="4"/>
  <c r="AA93" i="4"/>
  <c r="Z93" i="4"/>
  <c r="Y93" i="4"/>
  <c r="X93" i="4"/>
  <c r="V93" i="4"/>
  <c r="U93" i="4"/>
  <c r="T93" i="4"/>
  <c r="M93" i="4"/>
  <c r="L93" i="4"/>
  <c r="J93" i="4"/>
  <c r="AA92" i="4"/>
  <c r="Z92" i="4"/>
  <c r="Y92" i="4"/>
  <c r="X92" i="4"/>
  <c r="V92" i="4"/>
  <c r="U92" i="4"/>
  <c r="T92" i="4"/>
  <c r="M92" i="4"/>
  <c r="L92" i="4"/>
  <c r="J92" i="4"/>
  <c r="AA91" i="4"/>
  <c r="Z91" i="4"/>
  <c r="Y91" i="4"/>
  <c r="X91" i="4"/>
  <c r="V91" i="4"/>
  <c r="U91" i="4"/>
  <c r="T91" i="4"/>
  <c r="M91" i="4"/>
  <c r="L91" i="4"/>
  <c r="J91" i="4"/>
  <c r="AA90" i="4"/>
  <c r="Z90" i="4"/>
  <c r="Y90" i="4"/>
  <c r="X90" i="4"/>
  <c r="V90" i="4"/>
  <c r="U90" i="4"/>
  <c r="T90" i="4"/>
  <c r="M90" i="4"/>
  <c r="L90" i="4"/>
  <c r="J90" i="4"/>
  <c r="AA89" i="4"/>
  <c r="Z89" i="4"/>
  <c r="Y89" i="4"/>
  <c r="X89" i="4"/>
  <c r="V89" i="4"/>
  <c r="U89" i="4"/>
  <c r="T89" i="4"/>
  <c r="M89" i="4"/>
  <c r="L89" i="4"/>
  <c r="J89" i="4"/>
  <c r="AA88" i="4"/>
  <c r="Z88" i="4"/>
  <c r="Y88" i="4"/>
  <c r="X88" i="4"/>
  <c r="V88" i="4"/>
  <c r="U88" i="4"/>
  <c r="T88" i="4"/>
  <c r="M88" i="4"/>
  <c r="L88" i="4"/>
  <c r="J88" i="4"/>
  <c r="AA87" i="4"/>
  <c r="Z87" i="4"/>
  <c r="Y87" i="4"/>
  <c r="X87" i="4"/>
  <c r="V87" i="4"/>
  <c r="U87" i="4"/>
  <c r="T87" i="4"/>
  <c r="M87" i="4"/>
  <c r="L87" i="4"/>
  <c r="J87" i="4"/>
  <c r="AA86" i="4"/>
  <c r="Z86" i="4"/>
  <c r="Y86" i="4"/>
  <c r="X86" i="4"/>
  <c r="V86" i="4"/>
  <c r="U86" i="4"/>
  <c r="T86" i="4"/>
  <c r="M86" i="4"/>
  <c r="L86" i="4"/>
  <c r="J86" i="4"/>
  <c r="AA85" i="4"/>
  <c r="Z85" i="4"/>
  <c r="Y85" i="4"/>
  <c r="X85" i="4"/>
  <c r="V85" i="4"/>
  <c r="U85" i="4"/>
  <c r="T85" i="4"/>
  <c r="M85" i="4"/>
  <c r="L85" i="4"/>
  <c r="J85" i="4"/>
  <c r="AA84" i="4"/>
  <c r="Z84" i="4"/>
  <c r="Y84" i="4"/>
  <c r="X84" i="4"/>
  <c r="V84" i="4"/>
  <c r="U84" i="4"/>
  <c r="T84" i="4"/>
  <c r="M84" i="4"/>
  <c r="L84" i="4"/>
  <c r="J84" i="4"/>
  <c r="AA83" i="4"/>
  <c r="Z83" i="4"/>
  <c r="Y83" i="4"/>
  <c r="X83" i="4"/>
  <c r="V83" i="4"/>
  <c r="U83" i="4"/>
  <c r="T83" i="4"/>
  <c r="M83" i="4"/>
  <c r="L83" i="4"/>
  <c r="J83" i="4"/>
  <c r="AA82" i="4"/>
  <c r="Z82" i="4"/>
  <c r="Y82" i="4"/>
  <c r="X82" i="4"/>
  <c r="V82" i="4"/>
  <c r="U82" i="4"/>
  <c r="T82" i="4"/>
  <c r="M82" i="4"/>
  <c r="L82" i="4"/>
  <c r="J82" i="4"/>
  <c r="AA81" i="4"/>
  <c r="Z81" i="4"/>
  <c r="Y81" i="4"/>
  <c r="X81" i="4"/>
  <c r="V81" i="4"/>
  <c r="U81" i="4"/>
  <c r="T81" i="4"/>
  <c r="M81" i="4"/>
  <c r="L81" i="4"/>
  <c r="J81" i="4"/>
  <c r="AA80" i="4"/>
  <c r="Z80" i="4"/>
  <c r="Y80" i="4"/>
  <c r="X80" i="4"/>
  <c r="V80" i="4"/>
  <c r="U80" i="4"/>
  <c r="T80" i="4"/>
  <c r="M80" i="4"/>
  <c r="L80" i="4"/>
  <c r="J80" i="4"/>
  <c r="AA79" i="4"/>
  <c r="Z79" i="4"/>
  <c r="Y79" i="4"/>
  <c r="X79" i="4"/>
  <c r="V79" i="4"/>
  <c r="U79" i="4"/>
  <c r="T79" i="4"/>
  <c r="M79" i="4"/>
  <c r="L79" i="4"/>
  <c r="J79" i="4"/>
  <c r="AA78" i="4"/>
  <c r="Z78" i="4"/>
  <c r="Y78" i="4"/>
  <c r="X78" i="4"/>
  <c r="V78" i="4"/>
  <c r="U78" i="4"/>
  <c r="T78" i="4"/>
  <c r="M78" i="4"/>
  <c r="L78" i="4"/>
  <c r="J78" i="4"/>
  <c r="AA77" i="4"/>
  <c r="Z77" i="4"/>
  <c r="Y77" i="4"/>
  <c r="X77" i="4"/>
  <c r="V77" i="4"/>
  <c r="U77" i="4"/>
  <c r="T77" i="4"/>
  <c r="M77" i="4"/>
  <c r="L77" i="4"/>
  <c r="J77" i="4"/>
  <c r="AA76" i="4"/>
  <c r="Z76" i="4"/>
  <c r="Y76" i="4"/>
  <c r="X76" i="4"/>
  <c r="V76" i="4"/>
  <c r="U76" i="4"/>
  <c r="T76" i="4"/>
  <c r="M76" i="4"/>
  <c r="L76" i="4"/>
  <c r="J76" i="4"/>
  <c r="AA75" i="4"/>
  <c r="Z75" i="4"/>
  <c r="Y75" i="4"/>
  <c r="X75" i="4"/>
  <c r="V75" i="4"/>
  <c r="U75" i="4"/>
  <c r="T75" i="4"/>
  <c r="M75" i="4"/>
  <c r="L75" i="4"/>
  <c r="J75" i="4"/>
  <c r="AA74" i="4"/>
  <c r="Z74" i="4"/>
  <c r="Y74" i="4"/>
  <c r="X74" i="4"/>
  <c r="V74" i="4"/>
  <c r="U74" i="4"/>
  <c r="T74" i="4"/>
  <c r="M74" i="4"/>
  <c r="L74" i="4"/>
  <c r="J74" i="4"/>
  <c r="AA73" i="4"/>
  <c r="Z73" i="4"/>
  <c r="Y73" i="4"/>
  <c r="X73" i="4"/>
  <c r="V73" i="4"/>
  <c r="U73" i="4"/>
  <c r="T73" i="4"/>
  <c r="M73" i="4"/>
  <c r="L73" i="4"/>
  <c r="J73" i="4"/>
  <c r="AA72" i="4"/>
  <c r="Z72" i="4"/>
  <c r="Y72" i="4"/>
  <c r="X72" i="4"/>
  <c r="V72" i="4"/>
  <c r="U72" i="4"/>
  <c r="T72" i="4"/>
  <c r="M72" i="4"/>
  <c r="L72" i="4"/>
  <c r="J72" i="4"/>
  <c r="AA71" i="4"/>
  <c r="Z71" i="4"/>
  <c r="Y71" i="4"/>
  <c r="X71" i="4"/>
  <c r="V71" i="4"/>
  <c r="U71" i="4"/>
  <c r="T71" i="4"/>
  <c r="M71" i="4"/>
  <c r="L71" i="4"/>
  <c r="J71" i="4"/>
  <c r="AA70" i="4"/>
  <c r="Z70" i="4"/>
  <c r="Y70" i="4"/>
  <c r="X70" i="4"/>
  <c r="V70" i="4"/>
  <c r="U70" i="4"/>
  <c r="T70" i="4"/>
  <c r="M70" i="4"/>
  <c r="L70" i="4"/>
  <c r="J70" i="4"/>
  <c r="AA69" i="4"/>
  <c r="Z69" i="4"/>
  <c r="Y69" i="4"/>
  <c r="X69" i="4"/>
  <c r="V69" i="4"/>
  <c r="U69" i="4"/>
  <c r="T69" i="4"/>
  <c r="M69" i="4"/>
  <c r="L69" i="4"/>
  <c r="J69" i="4"/>
  <c r="AA68" i="4"/>
  <c r="Z68" i="4"/>
  <c r="Y68" i="4"/>
  <c r="X68" i="4"/>
  <c r="V68" i="4"/>
  <c r="U68" i="4"/>
  <c r="T68" i="4"/>
  <c r="M68" i="4"/>
  <c r="L68" i="4"/>
  <c r="J68" i="4"/>
  <c r="AA67" i="4"/>
  <c r="Z67" i="4"/>
  <c r="Y67" i="4"/>
  <c r="X67" i="4"/>
  <c r="V67" i="4"/>
  <c r="U67" i="4"/>
  <c r="T67" i="4"/>
  <c r="M67" i="4"/>
  <c r="L67" i="4"/>
  <c r="J67" i="4"/>
  <c r="AA66" i="4"/>
  <c r="Z66" i="4"/>
  <c r="Y66" i="4"/>
  <c r="X66" i="4"/>
  <c r="V66" i="4"/>
  <c r="U66" i="4"/>
  <c r="T66" i="4"/>
  <c r="M66" i="4"/>
  <c r="L66" i="4"/>
  <c r="J66" i="4"/>
  <c r="AA65" i="4"/>
  <c r="Z65" i="4"/>
  <c r="Y65" i="4"/>
  <c r="X65" i="4"/>
  <c r="V65" i="4"/>
  <c r="U65" i="4"/>
  <c r="T65" i="4"/>
  <c r="M65" i="4"/>
  <c r="L65" i="4"/>
  <c r="J65" i="4"/>
  <c r="AA64" i="4"/>
  <c r="Z64" i="4"/>
  <c r="Y64" i="4"/>
  <c r="X64" i="4"/>
  <c r="V64" i="4"/>
  <c r="U64" i="4"/>
  <c r="T64" i="4"/>
  <c r="M64" i="4"/>
  <c r="L64" i="4"/>
  <c r="J64" i="4"/>
  <c r="AA63" i="4"/>
  <c r="Z63" i="4"/>
  <c r="Y63" i="4"/>
  <c r="X63" i="4"/>
  <c r="V63" i="4"/>
  <c r="U63" i="4"/>
  <c r="T63" i="4"/>
  <c r="M63" i="4"/>
  <c r="L63" i="4"/>
  <c r="J63" i="4"/>
  <c r="AA62" i="4"/>
  <c r="Z62" i="4"/>
  <c r="Y62" i="4"/>
  <c r="X62" i="4"/>
  <c r="V62" i="4"/>
  <c r="U62" i="4"/>
  <c r="T62" i="4"/>
  <c r="M62" i="4"/>
  <c r="L62" i="4"/>
  <c r="J62" i="4"/>
  <c r="AA61" i="4"/>
  <c r="Z61" i="4"/>
  <c r="Y61" i="4"/>
  <c r="X61" i="4"/>
  <c r="V61" i="4"/>
  <c r="U61" i="4"/>
  <c r="T61" i="4"/>
  <c r="M61" i="4"/>
  <c r="L61" i="4"/>
  <c r="J61" i="4"/>
  <c r="AA60" i="4"/>
  <c r="Z60" i="4"/>
  <c r="Y60" i="4"/>
  <c r="X60" i="4"/>
  <c r="V60" i="4"/>
  <c r="U60" i="4"/>
  <c r="T60" i="4"/>
  <c r="M60" i="4"/>
  <c r="L60" i="4"/>
  <c r="J60" i="4"/>
  <c r="AA59" i="4"/>
  <c r="Z59" i="4"/>
  <c r="Y59" i="4"/>
  <c r="X59" i="4"/>
  <c r="V59" i="4"/>
  <c r="U59" i="4"/>
  <c r="T59" i="4"/>
  <c r="M59" i="4"/>
  <c r="L59" i="4"/>
  <c r="J59" i="4"/>
  <c r="AA58" i="4"/>
  <c r="Z58" i="4"/>
  <c r="Y58" i="4"/>
  <c r="X58" i="4"/>
  <c r="V58" i="4"/>
  <c r="U58" i="4"/>
  <c r="T58" i="4"/>
  <c r="M58" i="4"/>
  <c r="L58" i="4"/>
  <c r="J58" i="4"/>
  <c r="AA57" i="4"/>
  <c r="Z57" i="4"/>
  <c r="Y57" i="4"/>
  <c r="X57" i="4"/>
  <c r="V57" i="4"/>
  <c r="U57" i="4"/>
  <c r="T57" i="4"/>
  <c r="M57" i="4"/>
  <c r="L57" i="4"/>
  <c r="J57" i="4"/>
  <c r="AA56" i="4"/>
  <c r="Z56" i="4"/>
  <c r="Y56" i="4"/>
  <c r="X56" i="4"/>
  <c r="V56" i="4"/>
  <c r="U56" i="4"/>
  <c r="T56" i="4"/>
  <c r="M56" i="4"/>
  <c r="L56" i="4"/>
  <c r="J56" i="4"/>
  <c r="AA55" i="4"/>
  <c r="Z55" i="4"/>
  <c r="Y55" i="4"/>
  <c r="X55" i="4"/>
  <c r="V55" i="4"/>
  <c r="U55" i="4"/>
  <c r="T55" i="4"/>
  <c r="M55" i="4"/>
  <c r="L55" i="4"/>
  <c r="J55" i="4"/>
  <c r="AA54" i="4"/>
  <c r="Z54" i="4"/>
  <c r="Y54" i="4"/>
  <c r="X54" i="4"/>
  <c r="V54" i="4"/>
  <c r="U54" i="4"/>
  <c r="T54" i="4"/>
  <c r="M54" i="4"/>
  <c r="L54" i="4"/>
  <c r="J54" i="4"/>
  <c r="AA53" i="4"/>
  <c r="Z53" i="4"/>
  <c r="Y53" i="4"/>
  <c r="X53" i="4"/>
  <c r="V53" i="4"/>
  <c r="U53" i="4"/>
  <c r="T53" i="4"/>
  <c r="M53" i="4"/>
  <c r="L53" i="4"/>
  <c r="J53" i="4"/>
  <c r="AA52" i="4"/>
  <c r="Z52" i="4"/>
  <c r="Y52" i="4"/>
  <c r="X52" i="4"/>
  <c r="V52" i="4"/>
  <c r="U52" i="4"/>
  <c r="T52" i="4"/>
  <c r="M52" i="4"/>
  <c r="L52" i="4"/>
  <c r="J52" i="4"/>
  <c r="AA51" i="4"/>
  <c r="Z51" i="4"/>
  <c r="Y51" i="4"/>
  <c r="X51" i="4"/>
  <c r="V51" i="4"/>
  <c r="U51" i="4"/>
  <c r="T51" i="4"/>
  <c r="M51" i="4"/>
  <c r="L51" i="4"/>
  <c r="J51" i="4"/>
  <c r="AA50" i="4"/>
  <c r="Z50" i="4"/>
  <c r="Y50" i="4"/>
  <c r="X50" i="4"/>
  <c r="V50" i="4"/>
  <c r="U50" i="4"/>
  <c r="T50" i="4"/>
  <c r="M50" i="4"/>
  <c r="L50" i="4"/>
  <c r="J50" i="4"/>
  <c r="AA49" i="4"/>
  <c r="Z49" i="4"/>
  <c r="Y49" i="4"/>
  <c r="X49" i="4"/>
  <c r="V49" i="4"/>
  <c r="U49" i="4"/>
  <c r="T49" i="4"/>
  <c r="M49" i="4"/>
  <c r="L49" i="4"/>
  <c r="J49" i="4"/>
  <c r="AA48" i="4"/>
  <c r="Z48" i="4"/>
  <c r="Y48" i="4"/>
  <c r="X48" i="4"/>
  <c r="V48" i="4"/>
  <c r="U48" i="4"/>
  <c r="T48" i="4"/>
  <c r="M48" i="4"/>
  <c r="L48" i="4"/>
  <c r="J48" i="4"/>
  <c r="AA47" i="4"/>
  <c r="Z47" i="4"/>
  <c r="Y47" i="4"/>
  <c r="X47" i="4"/>
  <c r="V47" i="4"/>
  <c r="U47" i="4"/>
  <c r="T47" i="4"/>
  <c r="M47" i="4"/>
  <c r="L47" i="4"/>
  <c r="J47" i="4"/>
  <c r="AA46" i="4"/>
  <c r="Z46" i="4"/>
  <c r="Y46" i="4"/>
  <c r="X46" i="4"/>
  <c r="V46" i="4"/>
  <c r="U46" i="4"/>
  <c r="T46" i="4"/>
  <c r="M46" i="4"/>
  <c r="L46" i="4"/>
  <c r="J46" i="4"/>
  <c r="AA45" i="4"/>
  <c r="Z45" i="4"/>
  <c r="Y45" i="4"/>
  <c r="X45" i="4"/>
  <c r="V45" i="4"/>
  <c r="U45" i="4"/>
  <c r="T45" i="4"/>
  <c r="M45" i="4"/>
  <c r="L45" i="4"/>
  <c r="J45" i="4"/>
  <c r="AA44" i="4"/>
  <c r="Z44" i="4"/>
  <c r="Y44" i="4"/>
  <c r="X44" i="4"/>
  <c r="V44" i="4"/>
  <c r="U44" i="4"/>
  <c r="T44" i="4"/>
  <c r="M44" i="4"/>
  <c r="L44" i="4"/>
  <c r="J44" i="4"/>
  <c r="AA43" i="4"/>
  <c r="Z43" i="4"/>
  <c r="Y43" i="4"/>
  <c r="X43" i="4"/>
  <c r="V43" i="4"/>
  <c r="U43" i="4"/>
  <c r="T43" i="4"/>
  <c r="M43" i="4"/>
  <c r="L43" i="4"/>
  <c r="J43" i="4"/>
  <c r="AA42" i="4"/>
  <c r="Z42" i="4"/>
  <c r="Y42" i="4"/>
  <c r="X42" i="4"/>
  <c r="V42" i="4"/>
  <c r="U42" i="4"/>
  <c r="T42" i="4"/>
  <c r="M42" i="4"/>
  <c r="L42" i="4"/>
  <c r="J42" i="4"/>
  <c r="AA41" i="4"/>
  <c r="Z41" i="4"/>
  <c r="Y41" i="4"/>
  <c r="X41" i="4"/>
  <c r="V41" i="4"/>
  <c r="U41" i="4"/>
  <c r="T41" i="4"/>
  <c r="M41" i="4"/>
  <c r="L41" i="4"/>
  <c r="J41" i="4"/>
  <c r="AA40" i="4"/>
  <c r="Z40" i="4"/>
  <c r="Y40" i="4"/>
  <c r="X40" i="4"/>
  <c r="V40" i="4"/>
  <c r="U40" i="4"/>
  <c r="T40" i="4"/>
  <c r="M40" i="4"/>
  <c r="L40" i="4"/>
  <c r="J40" i="4"/>
  <c r="AA39" i="4"/>
  <c r="Z39" i="4"/>
  <c r="Y39" i="4"/>
  <c r="X39" i="4"/>
  <c r="V39" i="4"/>
  <c r="U39" i="4"/>
  <c r="T39" i="4"/>
  <c r="M39" i="4"/>
  <c r="L39" i="4"/>
  <c r="J39" i="4"/>
  <c r="AA38" i="4"/>
  <c r="Z38" i="4"/>
  <c r="Y38" i="4"/>
  <c r="X38" i="4"/>
  <c r="V38" i="4"/>
  <c r="U38" i="4"/>
  <c r="T38" i="4"/>
  <c r="M38" i="4"/>
  <c r="L38" i="4"/>
  <c r="J38" i="4"/>
  <c r="AA37" i="4"/>
  <c r="Z37" i="4"/>
  <c r="Y37" i="4"/>
  <c r="X37" i="4"/>
  <c r="V37" i="4"/>
  <c r="U37" i="4"/>
  <c r="T37" i="4"/>
  <c r="M37" i="4"/>
  <c r="L37" i="4"/>
  <c r="J37" i="4"/>
  <c r="AA36" i="4"/>
  <c r="Z36" i="4"/>
  <c r="Y36" i="4"/>
  <c r="X36" i="4"/>
  <c r="V36" i="4"/>
  <c r="U36" i="4"/>
  <c r="T36" i="4"/>
  <c r="M36" i="4"/>
  <c r="L36" i="4"/>
  <c r="J36" i="4"/>
  <c r="AA35" i="4"/>
  <c r="Z35" i="4"/>
  <c r="Y35" i="4"/>
  <c r="X35" i="4"/>
  <c r="V35" i="4"/>
  <c r="U35" i="4"/>
  <c r="T35" i="4"/>
  <c r="M35" i="4"/>
  <c r="L35" i="4"/>
  <c r="J35" i="4"/>
  <c r="AA34" i="4"/>
  <c r="Z34" i="4"/>
  <c r="Y34" i="4"/>
  <c r="X34" i="4"/>
  <c r="V34" i="4"/>
  <c r="U34" i="4"/>
  <c r="T34" i="4"/>
  <c r="M34" i="4"/>
  <c r="L34" i="4"/>
  <c r="J34" i="4"/>
  <c r="AA33" i="4"/>
  <c r="Z33" i="4"/>
  <c r="Y33" i="4"/>
  <c r="X33" i="4"/>
  <c r="V33" i="4"/>
  <c r="U33" i="4"/>
  <c r="T33" i="4"/>
  <c r="M33" i="4"/>
  <c r="L33" i="4"/>
  <c r="J33" i="4"/>
  <c r="AA32" i="4"/>
  <c r="Z32" i="4"/>
  <c r="Y32" i="4"/>
  <c r="X32" i="4"/>
  <c r="V32" i="4"/>
  <c r="U32" i="4"/>
  <c r="T32" i="4"/>
  <c r="M32" i="4"/>
  <c r="L32" i="4"/>
  <c r="J32" i="4"/>
  <c r="AA31" i="4"/>
  <c r="Z31" i="4"/>
  <c r="Y31" i="4"/>
  <c r="X31" i="4"/>
  <c r="V31" i="4"/>
  <c r="U31" i="4"/>
  <c r="T31" i="4"/>
  <c r="M31" i="4"/>
  <c r="L31" i="4"/>
  <c r="J31" i="4"/>
  <c r="AA30" i="4"/>
  <c r="Z30" i="4"/>
  <c r="Y30" i="4"/>
  <c r="X30" i="4"/>
  <c r="V30" i="4"/>
  <c r="U30" i="4"/>
  <c r="T30" i="4"/>
  <c r="M30" i="4"/>
  <c r="L30" i="4"/>
  <c r="J30" i="4"/>
  <c r="AA29" i="4"/>
  <c r="Z29" i="4"/>
  <c r="Y29" i="4"/>
  <c r="X29" i="4"/>
  <c r="V29" i="4"/>
  <c r="U29" i="4"/>
  <c r="T29" i="4"/>
  <c r="M29" i="4"/>
  <c r="L29" i="4"/>
  <c r="J29" i="4"/>
  <c r="AA28" i="4"/>
  <c r="Z28" i="4"/>
  <c r="Y28" i="4"/>
  <c r="X28" i="4"/>
  <c r="V28" i="4"/>
  <c r="U28" i="4"/>
  <c r="T28" i="4"/>
  <c r="M28" i="4"/>
  <c r="L28" i="4"/>
  <c r="J28" i="4"/>
  <c r="AA27" i="4"/>
  <c r="Z27" i="4"/>
  <c r="Y27" i="4"/>
  <c r="X27" i="4"/>
  <c r="V27" i="4"/>
  <c r="U27" i="4"/>
  <c r="T27" i="4"/>
  <c r="M27" i="4"/>
  <c r="L27" i="4"/>
  <c r="J27" i="4"/>
  <c r="AA26" i="4"/>
  <c r="Z26" i="4"/>
  <c r="Y26" i="4"/>
  <c r="X26" i="4"/>
  <c r="V26" i="4"/>
  <c r="U26" i="4"/>
  <c r="T26" i="4"/>
  <c r="M26" i="4"/>
  <c r="L26" i="4"/>
  <c r="J26" i="4"/>
  <c r="AA25" i="4"/>
  <c r="Z25" i="4"/>
  <c r="Y25" i="4"/>
  <c r="X25" i="4"/>
  <c r="V25" i="4"/>
  <c r="U25" i="4"/>
  <c r="T25" i="4"/>
  <c r="M25" i="4"/>
  <c r="L25" i="4"/>
  <c r="J25" i="4"/>
  <c r="AA24" i="4"/>
  <c r="Z24" i="4"/>
  <c r="Y24" i="4"/>
  <c r="X24" i="4"/>
  <c r="V24" i="4"/>
  <c r="U24" i="4"/>
  <c r="T24" i="4"/>
  <c r="M24" i="4"/>
  <c r="L24" i="4"/>
  <c r="J24" i="4"/>
  <c r="AA23" i="4"/>
  <c r="Z23" i="4"/>
  <c r="Y23" i="4"/>
  <c r="X23" i="4"/>
  <c r="V23" i="4"/>
  <c r="U23" i="4"/>
  <c r="T23" i="4"/>
  <c r="M23" i="4"/>
  <c r="L23" i="4"/>
  <c r="J23" i="4"/>
  <c r="AA22" i="4"/>
  <c r="Z22" i="4"/>
  <c r="Y22" i="4"/>
  <c r="X22" i="4"/>
  <c r="V22" i="4"/>
  <c r="U22" i="4"/>
  <c r="T22" i="4"/>
  <c r="M22" i="4"/>
  <c r="L22" i="4"/>
  <c r="J22" i="4"/>
  <c r="AA21" i="4"/>
  <c r="Z21" i="4"/>
  <c r="Y21" i="4"/>
  <c r="X21" i="4"/>
  <c r="V21" i="4"/>
  <c r="U21" i="4"/>
  <c r="T21" i="4"/>
  <c r="M21" i="4"/>
  <c r="L21" i="4"/>
  <c r="J21" i="4"/>
  <c r="AA20" i="4"/>
  <c r="Z20" i="4"/>
  <c r="Y20" i="4"/>
  <c r="X20" i="4"/>
  <c r="V20" i="4"/>
  <c r="U20" i="4"/>
  <c r="T20" i="4"/>
  <c r="M20" i="4"/>
  <c r="L20" i="4"/>
  <c r="J20" i="4"/>
  <c r="AA19" i="4"/>
  <c r="Z19" i="4"/>
  <c r="Y19" i="4"/>
  <c r="X19" i="4"/>
  <c r="V19" i="4"/>
  <c r="U19" i="4"/>
  <c r="T19" i="4"/>
  <c r="M19" i="4"/>
  <c r="L19" i="4"/>
  <c r="J19" i="4"/>
  <c r="AA18" i="4"/>
  <c r="Z18" i="4"/>
  <c r="Y18" i="4"/>
  <c r="X18" i="4"/>
  <c r="V18" i="4"/>
  <c r="U18" i="4"/>
  <c r="T18" i="4"/>
  <c r="M18" i="4"/>
  <c r="L18" i="4"/>
  <c r="J18" i="4"/>
  <c r="AA17" i="4"/>
  <c r="Z17" i="4"/>
  <c r="Y17" i="4"/>
  <c r="X17" i="4"/>
  <c r="V17" i="4"/>
  <c r="U17" i="4"/>
  <c r="T17" i="4"/>
  <c r="M17" i="4"/>
  <c r="L17" i="4"/>
  <c r="J17" i="4"/>
  <c r="AA16" i="4"/>
  <c r="Z16" i="4"/>
  <c r="Y16" i="4"/>
  <c r="X16" i="4"/>
  <c r="V16" i="4"/>
  <c r="U16" i="4"/>
  <c r="T16" i="4"/>
  <c r="M16" i="4"/>
  <c r="L16" i="4"/>
  <c r="J16" i="4"/>
  <c r="AA15" i="4"/>
  <c r="Z15" i="4"/>
  <c r="Y15" i="4"/>
  <c r="X15" i="4"/>
  <c r="V15" i="4"/>
  <c r="U15" i="4"/>
  <c r="T15" i="4"/>
  <c r="M15" i="4"/>
  <c r="L15" i="4"/>
  <c r="J15" i="4"/>
  <c r="AA14" i="4"/>
  <c r="Z14" i="4"/>
  <c r="Y14" i="4"/>
  <c r="X14" i="4"/>
  <c r="V14" i="4"/>
  <c r="U14" i="4"/>
  <c r="T14" i="4"/>
  <c r="M14" i="4"/>
  <c r="L14" i="4"/>
  <c r="J14" i="4"/>
  <c r="AA13" i="4"/>
  <c r="Z13" i="4"/>
  <c r="Y13" i="4"/>
  <c r="X13" i="4"/>
  <c r="V13" i="4"/>
  <c r="U13" i="4"/>
  <c r="T13" i="4"/>
  <c r="M13" i="4"/>
  <c r="L13" i="4"/>
  <c r="J13" i="4"/>
  <c r="AA12" i="4"/>
  <c r="Z12" i="4"/>
  <c r="Y12" i="4"/>
  <c r="X12" i="4"/>
  <c r="V12" i="4"/>
  <c r="U12" i="4"/>
  <c r="T12" i="4"/>
  <c r="M12" i="4"/>
  <c r="L12" i="4"/>
  <c r="J12" i="4"/>
  <c r="AA11" i="4"/>
  <c r="Z11" i="4"/>
  <c r="Y11" i="4"/>
  <c r="X11" i="4"/>
  <c r="V11" i="4"/>
  <c r="U11" i="4"/>
  <c r="T11" i="4"/>
  <c r="M11" i="4"/>
  <c r="L11" i="4"/>
  <c r="J11" i="4"/>
  <c r="AA10" i="4"/>
  <c r="Z10" i="4"/>
  <c r="Y10" i="4"/>
  <c r="X10" i="4"/>
  <c r="V10" i="4"/>
  <c r="U10" i="4"/>
  <c r="T10" i="4"/>
  <c r="M10" i="4"/>
  <c r="L10" i="4"/>
  <c r="J10" i="4"/>
  <c r="AA9" i="4"/>
  <c r="Z9" i="4"/>
  <c r="Y9" i="4"/>
  <c r="X9" i="4"/>
  <c r="V9" i="4"/>
  <c r="U9" i="4"/>
  <c r="T9" i="4"/>
  <c r="M9" i="4"/>
  <c r="L9" i="4"/>
  <c r="J9" i="4"/>
  <c r="AA8" i="4"/>
  <c r="Z8" i="4"/>
  <c r="Y8" i="4"/>
  <c r="X8" i="4"/>
  <c r="V8" i="4"/>
  <c r="U8" i="4"/>
  <c r="T8" i="4"/>
  <c r="M8" i="4"/>
  <c r="L8" i="4"/>
  <c r="J8" i="4"/>
  <c r="AA7" i="4"/>
  <c r="Z7" i="4"/>
  <c r="Y7" i="4"/>
  <c r="X7" i="4"/>
  <c r="V7" i="4"/>
  <c r="U7" i="4"/>
  <c r="T7" i="4"/>
  <c r="M7" i="4"/>
  <c r="L7" i="4"/>
  <c r="J7" i="4"/>
  <c r="AA6" i="4"/>
  <c r="Z6" i="4"/>
  <c r="Y6" i="4"/>
  <c r="X6" i="4"/>
  <c r="V6" i="4"/>
  <c r="U6" i="4"/>
  <c r="T6" i="4"/>
  <c r="M6" i="4"/>
  <c r="L6" i="4"/>
  <c r="J6" i="4"/>
  <c r="AA5" i="4"/>
  <c r="Z5" i="4"/>
  <c r="Y5" i="4"/>
  <c r="X5" i="4"/>
  <c r="V5" i="4"/>
  <c r="U5" i="4"/>
  <c r="T5" i="4"/>
  <c r="M5" i="4"/>
  <c r="L5" i="4"/>
  <c r="J5" i="4"/>
  <c r="AA4" i="4"/>
  <c r="Z4" i="4"/>
  <c r="Y4" i="4"/>
  <c r="X4" i="4"/>
  <c r="V4" i="4"/>
  <c r="U4" i="4"/>
  <c r="T4" i="4"/>
  <c r="M4" i="4"/>
  <c r="L4" i="4"/>
  <c r="J4" i="4"/>
  <c r="AA3" i="4"/>
  <c r="Z3" i="4"/>
  <c r="Y3" i="4"/>
  <c r="X3" i="4"/>
  <c r="V3" i="4"/>
  <c r="U3" i="4"/>
  <c r="T3" i="4"/>
  <c r="M3" i="4"/>
  <c r="L3" i="4"/>
  <c r="J3" i="4"/>
  <c r="AA2" i="4"/>
  <c r="Z2" i="4"/>
  <c r="Y2" i="4"/>
  <c r="X2" i="4"/>
  <c r="V2" i="4"/>
  <c r="U2" i="4"/>
  <c r="T2" i="4"/>
  <c r="M2" i="4"/>
  <c r="L2" i="4"/>
  <c r="J2" i="4"/>
  <c r="AA166" i="3" l="1"/>
  <c r="Z166" i="3"/>
  <c r="Y166" i="3"/>
  <c r="X166" i="3"/>
  <c r="V166" i="3"/>
  <c r="U166" i="3"/>
  <c r="T166" i="3"/>
  <c r="M166" i="3"/>
  <c r="L166" i="3"/>
  <c r="J166" i="3"/>
  <c r="AA165" i="3"/>
  <c r="Z165" i="3"/>
  <c r="Y165" i="3"/>
  <c r="X165" i="3"/>
  <c r="V165" i="3"/>
  <c r="U165" i="3"/>
  <c r="T165" i="3"/>
  <c r="M165" i="3"/>
  <c r="L165" i="3"/>
  <c r="J165" i="3"/>
  <c r="AA164" i="3"/>
  <c r="Z164" i="3"/>
  <c r="Y164" i="3"/>
  <c r="X164" i="3"/>
  <c r="V164" i="3"/>
  <c r="U164" i="3"/>
  <c r="T164" i="3"/>
  <c r="M164" i="3"/>
  <c r="L164" i="3"/>
  <c r="J164" i="3"/>
  <c r="AA163" i="3"/>
  <c r="Z163" i="3"/>
  <c r="Y163" i="3"/>
  <c r="X163" i="3"/>
  <c r="V163" i="3"/>
  <c r="U163" i="3"/>
  <c r="T163" i="3"/>
  <c r="M163" i="3"/>
  <c r="L163" i="3"/>
  <c r="J163" i="3"/>
  <c r="AA162" i="3"/>
  <c r="Z162" i="3"/>
  <c r="Y162" i="3"/>
  <c r="X162" i="3"/>
  <c r="V162" i="3"/>
  <c r="U162" i="3"/>
  <c r="T162" i="3"/>
  <c r="M162" i="3"/>
  <c r="L162" i="3"/>
  <c r="J162" i="3"/>
  <c r="AA161" i="3"/>
  <c r="Z161" i="3"/>
  <c r="Y161" i="3"/>
  <c r="X161" i="3"/>
  <c r="V161" i="3"/>
  <c r="U161" i="3"/>
  <c r="T161" i="3"/>
  <c r="M161" i="3"/>
  <c r="L161" i="3"/>
  <c r="J161" i="3"/>
  <c r="AA160" i="3"/>
  <c r="Z160" i="3"/>
  <c r="Y160" i="3"/>
  <c r="X160" i="3"/>
  <c r="V160" i="3"/>
  <c r="U160" i="3"/>
  <c r="T160" i="3"/>
  <c r="M160" i="3"/>
  <c r="L160" i="3"/>
  <c r="J160" i="3"/>
  <c r="AA159" i="3"/>
  <c r="Z159" i="3"/>
  <c r="Y159" i="3"/>
  <c r="X159" i="3"/>
  <c r="V159" i="3"/>
  <c r="U159" i="3"/>
  <c r="T159" i="3"/>
  <c r="M159" i="3"/>
  <c r="L159" i="3"/>
  <c r="J159" i="3"/>
  <c r="AA158" i="3"/>
  <c r="Z158" i="3"/>
  <c r="Y158" i="3"/>
  <c r="X158" i="3"/>
  <c r="V158" i="3"/>
  <c r="U158" i="3"/>
  <c r="T158" i="3"/>
  <c r="M158" i="3"/>
  <c r="L158" i="3"/>
  <c r="J158" i="3"/>
  <c r="AA157" i="3"/>
  <c r="Z157" i="3"/>
  <c r="Y157" i="3"/>
  <c r="X157" i="3"/>
  <c r="V157" i="3"/>
  <c r="U157" i="3"/>
  <c r="T157" i="3"/>
  <c r="M157" i="3"/>
  <c r="L157" i="3"/>
  <c r="J157" i="3"/>
  <c r="AA156" i="3"/>
  <c r="Z156" i="3"/>
  <c r="Y156" i="3"/>
  <c r="X156" i="3"/>
  <c r="V156" i="3"/>
  <c r="U156" i="3"/>
  <c r="T156" i="3"/>
  <c r="M156" i="3"/>
  <c r="L156" i="3"/>
  <c r="J156" i="3"/>
  <c r="AA155" i="3"/>
  <c r="Z155" i="3"/>
  <c r="Y155" i="3"/>
  <c r="X155" i="3"/>
  <c r="V155" i="3"/>
  <c r="U155" i="3"/>
  <c r="T155" i="3"/>
  <c r="M155" i="3"/>
  <c r="L155" i="3"/>
  <c r="J155" i="3"/>
  <c r="AA154" i="3"/>
  <c r="Z154" i="3"/>
  <c r="Y154" i="3"/>
  <c r="X154" i="3"/>
  <c r="V154" i="3"/>
  <c r="U154" i="3"/>
  <c r="T154" i="3"/>
  <c r="M154" i="3"/>
  <c r="L154" i="3"/>
  <c r="J154" i="3"/>
  <c r="AA153" i="3"/>
  <c r="Z153" i="3"/>
  <c r="Y153" i="3"/>
  <c r="X153" i="3"/>
  <c r="V153" i="3"/>
  <c r="U153" i="3"/>
  <c r="T153" i="3"/>
  <c r="M153" i="3"/>
  <c r="L153" i="3"/>
  <c r="J153" i="3"/>
  <c r="AA152" i="3"/>
  <c r="Z152" i="3"/>
  <c r="Y152" i="3"/>
  <c r="X152" i="3"/>
  <c r="V152" i="3"/>
  <c r="U152" i="3"/>
  <c r="T152" i="3"/>
  <c r="M152" i="3"/>
  <c r="L152" i="3"/>
  <c r="J152" i="3"/>
  <c r="AA151" i="3"/>
  <c r="Z151" i="3"/>
  <c r="Y151" i="3"/>
  <c r="X151" i="3"/>
  <c r="V151" i="3"/>
  <c r="U151" i="3"/>
  <c r="T151" i="3"/>
  <c r="M151" i="3"/>
  <c r="L151" i="3"/>
  <c r="J151" i="3"/>
  <c r="AA150" i="3"/>
  <c r="Z150" i="3"/>
  <c r="Y150" i="3"/>
  <c r="X150" i="3"/>
  <c r="V150" i="3"/>
  <c r="U150" i="3"/>
  <c r="T150" i="3"/>
  <c r="M150" i="3"/>
  <c r="L150" i="3"/>
  <c r="J150" i="3"/>
  <c r="AA149" i="3"/>
  <c r="Z149" i="3"/>
  <c r="Y149" i="3"/>
  <c r="X149" i="3"/>
  <c r="V149" i="3"/>
  <c r="U149" i="3"/>
  <c r="T149" i="3"/>
  <c r="M149" i="3"/>
  <c r="L149" i="3"/>
  <c r="J149" i="3"/>
  <c r="AA148" i="3"/>
  <c r="Z148" i="3"/>
  <c r="Y148" i="3"/>
  <c r="X148" i="3"/>
  <c r="V148" i="3"/>
  <c r="U148" i="3"/>
  <c r="T148" i="3"/>
  <c r="M148" i="3"/>
  <c r="L148" i="3"/>
  <c r="J148" i="3"/>
  <c r="AA147" i="3"/>
  <c r="Z147" i="3"/>
  <c r="Y147" i="3"/>
  <c r="X147" i="3"/>
  <c r="V147" i="3"/>
  <c r="U147" i="3"/>
  <c r="T147" i="3"/>
  <c r="M147" i="3"/>
  <c r="L147" i="3"/>
  <c r="J147" i="3"/>
  <c r="AA146" i="3"/>
  <c r="Z146" i="3"/>
  <c r="Y146" i="3"/>
  <c r="X146" i="3"/>
  <c r="V146" i="3"/>
  <c r="U146" i="3"/>
  <c r="T146" i="3"/>
  <c r="M146" i="3"/>
  <c r="L146" i="3"/>
  <c r="J146" i="3"/>
  <c r="AA145" i="3"/>
  <c r="Z145" i="3"/>
  <c r="Y145" i="3"/>
  <c r="X145" i="3"/>
  <c r="V145" i="3"/>
  <c r="U145" i="3"/>
  <c r="T145" i="3"/>
  <c r="M145" i="3"/>
  <c r="L145" i="3"/>
  <c r="J145" i="3"/>
  <c r="AA144" i="3"/>
  <c r="Z144" i="3"/>
  <c r="Y144" i="3"/>
  <c r="X144" i="3"/>
  <c r="V144" i="3"/>
  <c r="U144" i="3"/>
  <c r="T144" i="3"/>
  <c r="M144" i="3"/>
  <c r="L144" i="3"/>
  <c r="J144" i="3"/>
  <c r="AA143" i="3"/>
  <c r="Z143" i="3"/>
  <c r="Y143" i="3"/>
  <c r="X143" i="3"/>
  <c r="V143" i="3"/>
  <c r="U143" i="3"/>
  <c r="T143" i="3"/>
  <c r="M143" i="3"/>
  <c r="L143" i="3"/>
  <c r="J143" i="3"/>
  <c r="AA142" i="3"/>
  <c r="Z142" i="3"/>
  <c r="Y142" i="3"/>
  <c r="X142" i="3"/>
  <c r="V142" i="3"/>
  <c r="U142" i="3"/>
  <c r="T142" i="3"/>
  <c r="M142" i="3"/>
  <c r="L142" i="3"/>
  <c r="J142" i="3"/>
  <c r="AA141" i="3"/>
  <c r="Z141" i="3"/>
  <c r="Y141" i="3"/>
  <c r="X141" i="3"/>
  <c r="V141" i="3"/>
  <c r="U141" i="3"/>
  <c r="T141" i="3"/>
  <c r="M141" i="3"/>
  <c r="L141" i="3"/>
  <c r="J141" i="3"/>
  <c r="AA140" i="3"/>
  <c r="Z140" i="3"/>
  <c r="Y140" i="3"/>
  <c r="X140" i="3"/>
  <c r="V140" i="3"/>
  <c r="U140" i="3"/>
  <c r="T140" i="3"/>
  <c r="M140" i="3"/>
  <c r="L140" i="3"/>
  <c r="J140" i="3"/>
  <c r="AA139" i="3"/>
  <c r="Z139" i="3"/>
  <c r="Y139" i="3"/>
  <c r="X139" i="3"/>
  <c r="V139" i="3"/>
  <c r="U139" i="3"/>
  <c r="T139" i="3"/>
  <c r="M139" i="3"/>
  <c r="L139" i="3"/>
  <c r="J139" i="3"/>
  <c r="AA138" i="3"/>
  <c r="Z138" i="3"/>
  <c r="Y138" i="3"/>
  <c r="X138" i="3"/>
  <c r="V138" i="3"/>
  <c r="U138" i="3"/>
  <c r="T138" i="3"/>
  <c r="M138" i="3"/>
  <c r="L138" i="3"/>
  <c r="J138" i="3"/>
  <c r="AA137" i="3"/>
  <c r="Z137" i="3"/>
  <c r="Y137" i="3"/>
  <c r="X137" i="3"/>
  <c r="V137" i="3"/>
  <c r="U137" i="3"/>
  <c r="T137" i="3"/>
  <c r="M137" i="3"/>
  <c r="L137" i="3"/>
  <c r="J137" i="3"/>
  <c r="AA136" i="3"/>
  <c r="Z136" i="3"/>
  <c r="Y136" i="3"/>
  <c r="X136" i="3"/>
  <c r="V136" i="3"/>
  <c r="U136" i="3"/>
  <c r="T136" i="3"/>
  <c r="M136" i="3"/>
  <c r="L136" i="3"/>
  <c r="J136" i="3"/>
  <c r="AA135" i="3"/>
  <c r="Z135" i="3"/>
  <c r="Y135" i="3"/>
  <c r="X135" i="3"/>
  <c r="V135" i="3"/>
  <c r="U135" i="3"/>
  <c r="T135" i="3"/>
  <c r="M135" i="3"/>
  <c r="L135" i="3"/>
  <c r="J135" i="3"/>
  <c r="AA134" i="3"/>
  <c r="Z134" i="3"/>
  <c r="Y134" i="3"/>
  <c r="X134" i="3"/>
  <c r="V134" i="3"/>
  <c r="U134" i="3"/>
  <c r="T134" i="3"/>
  <c r="M134" i="3"/>
  <c r="L134" i="3"/>
  <c r="J134" i="3"/>
  <c r="AA133" i="3"/>
  <c r="Z133" i="3"/>
  <c r="Y133" i="3"/>
  <c r="X133" i="3"/>
  <c r="V133" i="3"/>
  <c r="U133" i="3"/>
  <c r="T133" i="3"/>
  <c r="M133" i="3"/>
  <c r="L133" i="3"/>
  <c r="J133" i="3"/>
  <c r="AA132" i="3"/>
  <c r="Z132" i="3"/>
  <c r="Y132" i="3"/>
  <c r="X132" i="3"/>
  <c r="V132" i="3"/>
  <c r="U132" i="3"/>
  <c r="T132" i="3"/>
  <c r="M132" i="3"/>
  <c r="L132" i="3"/>
  <c r="J132" i="3"/>
  <c r="AA131" i="3"/>
  <c r="Z131" i="3"/>
  <c r="Y131" i="3"/>
  <c r="X131" i="3"/>
  <c r="V131" i="3"/>
  <c r="U131" i="3"/>
  <c r="T131" i="3"/>
  <c r="M131" i="3"/>
  <c r="L131" i="3"/>
  <c r="J131" i="3"/>
  <c r="AA130" i="3"/>
  <c r="Z130" i="3"/>
  <c r="Y130" i="3"/>
  <c r="X130" i="3"/>
  <c r="V130" i="3"/>
  <c r="U130" i="3"/>
  <c r="T130" i="3"/>
  <c r="M130" i="3"/>
  <c r="L130" i="3"/>
  <c r="J130" i="3"/>
  <c r="AA129" i="3"/>
  <c r="Z129" i="3"/>
  <c r="Y129" i="3"/>
  <c r="X129" i="3"/>
  <c r="V129" i="3"/>
  <c r="U129" i="3"/>
  <c r="T129" i="3"/>
  <c r="M129" i="3"/>
  <c r="L129" i="3"/>
  <c r="J129" i="3"/>
  <c r="AA128" i="3"/>
  <c r="Z128" i="3"/>
  <c r="Y128" i="3"/>
  <c r="X128" i="3"/>
  <c r="V128" i="3"/>
  <c r="U128" i="3"/>
  <c r="T128" i="3"/>
  <c r="M128" i="3"/>
  <c r="L128" i="3"/>
  <c r="J128" i="3"/>
  <c r="AA127" i="3"/>
  <c r="Z127" i="3"/>
  <c r="Y127" i="3"/>
  <c r="X127" i="3"/>
  <c r="V127" i="3"/>
  <c r="U127" i="3"/>
  <c r="T127" i="3"/>
  <c r="M127" i="3"/>
  <c r="L127" i="3"/>
  <c r="J127" i="3"/>
  <c r="AA126" i="3"/>
  <c r="Z126" i="3"/>
  <c r="Y126" i="3"/>
  <c r="X126" i="3"/>
  <c r="V126" i="3"/>
  <c r="U126" i="3"/>
  <c r="T126" i="3"/>
  <c r="M126" i="3"/>
  <c r="L126" i="3"/>
  <c r="J126" i="3"/>
  <c r="AA125" i="3"/>
  <c r="Z125" i="3"/>
  <c r="Y125" i="3"/>
  <c r="X125" i="3"/>
  <c r="V125" i="3"/>
  <c r="U125" i="3"/>
  <c r="T125" i="3"/>
  <c r="M125" i="3"/>
  <c r="L125" i="3"/>
  <c r="J125" i="3"/>
  <c r="AA124" i="3"/>
  <c r="Z124" i="3"/>
  <c r="Y124" i="3"/>
  <c r="X124" i="3"/>
  <c r="V124" i="3"/>
  <c r="U124" i="3"/>
  <c r="T124" i="3"/>
  <c r="M124" i="3"/>
  <c r="L124" i="3"/>
  <c r="J124" i="3"/>
  <c r="AA123" i="3"/>
  <c r="Z123" i="3"/>
  <c r="Y123" i="3"/>
  <c r="X123" i="3"/>
  <c r="V123" i="3"/>
  <c r="U123" i="3"/>
  <c r="T123" i="3"/>
  <c r="M123" i="3"/>
  <c r="L123" i="3"/>
  <c r="J123" i="3"/>
  <c r="AA122" i="3"/>
  <c r="Z122" i="3"/>
  <c r="Y122" i="3"/>
  <c r="X122" i="3"/>
  <c r="V122" i="3"/>
  <c r="U122" i="3"/>
  <c r="T122" i="3"/>
  <c r="M122" i="3"/>
  <c r="L122" i="3"/>
  <c r="J122" i="3"/>
  <c r="AA121" i="3"/>
  <c r="Z121" i="3"/>
  <c r="Y121" i="3"/>
  <c r="X121" i="3"/>
  <c r="V121" i="3"/>
  <c r="U121" i="3"/>
  <c r="T121" i="3"/>
  <c r="M121" i="3"/>
  <c r="L121" i="3"/>
  <c r="J121" i="3"/>
  <c r="AA120" i="3"/>
  <c r="Z120" i="3"/>
  <c r="Y120" i="3"/>
  <c r="X120" i="3"/>
  <c r="V120" i="3"/>
  <c r="U120" i="3"/>
  <c r="T120" i="3"/>
  <c r="M120" i="3"/>
  <c r="L120" i="3"/>
  <c r="J120" i="3"/>
  <c r="AA119" i="3"/>
  <c r="Z119" i="3"/>
  <c r="Y119" i="3"/>
  <c r="X119" i="3"/>
  <c r="V119" i="3"/>
  <c r="U119" i="3"/>
  <c r="T119" i="3"/>
  <c r="M119" i="3"/>
  <c r="L119" i="3"/>
  <c r="J119" i="3"/>
  <c r="AA118" i="3"/>
  <c r="Z118" i="3"/>
  <c r="Y118" i="3"/>
  <c r="X118" i="3"/>
  <c r="V118" i="3"/>
  <c r="U118" i="3"/>
  <c r="T118" i="3"/>
  <c r="M118" i="3"/>
  <c r="L118" i="3"/>
  <c r="J118" i="3"/>
  <c r="AA117" i="3"/>
  <c r="Z117" i="3"/>
  <c r="Y117" i="3"/>
  <c r="X117" i="3"/>
  <c r="V117" i="3"/>
  <c r="U117" i="3"/>
  <c r="T117" i="3"/>
  <c r="M117" i="3"/>
  <c r="L117" i="3"/>
  <c r="J117" i="3"/>
  <c r="AA116" i="3"/>
  <c r="Z116" i="3"/>
  <c r="Y116" i="3"/>
  <c r="X116" i="3"/>
  <c r="V116" i="3"/>
  <c r="U116" i="3"/>
  <c r="T116" i="3"/>
  <c r="M116" i="3"/>
  <c r="L116" i="3"/>
  <c r="J116" i="3"/>
  <c r="AA115" i="3"/>
  <c r="Z115" i="3"/>
  <c r="Y115" i="3"/>
  <c r="X115" i="3"/>
  <c r="V115" i="3"/>
  <c r="U115" i="3"/>
  <c r="T115" i="3"/>
  <c r="M115" i="3"/>
  <c r="L115" i="3"/>
  <c r="J115" i="3"/>
  <c r="AA114" i="3"/>
  <c r="Z114" i="3"/>
  <c r="Y114" i="3"/>
  <c r="X114" i="3"/>
  <c r="V114" i="3"/>
  <c r="U114" i="3"/>
  <c r="T114" i="3"/>
  <c r="M114" i="3"/>
  <c r="L114" i="3"/>
  <c r="J114" i="3"/>
  <c r="AA113" i="3"/>
  <c r="Z113" i="3"/>
  <c r="Y113" i="3"/>
  <c r="X113" i="3"/>
  <c r="V113" i="3"/>
  <c r="U113" i="3"/>
  <c r="T113" i="3"/>
  <c r="M113" i="3"/>
  <c r="L113" i="3"/>
  <c r="J113" i="3"/>
  <c r="AA112" i="3"/>
  <c r="Z112" i="3"/>
  <c r="Y112" i="3"/>
  <c r="X112" i="3"/>
  <c r="V112" i="3"/>
  <c r="U112" i="3"/>
  <c r="T112" i="3"/>
  <c r="M112" i="3"/>
  <c r="L112" i="3"/>
  <c r="J112" i="3"/>
  <c r="AA111" i="3"/>
  <c r="Z111" i="3"/>
  <c r="Y111" i="3"/>
  <c r="X111" i="3"/>
  <c r="V111" i="3"/>
  <c r="U111" i="3"/>
  <c r="T111" i="3"/>
  <c r="M111" i="3"/>
  <c r="L111" i="3"/>
  <c r="J111" i="3"/>
  <c r="AA110" i="3"/>
  <c r="Z110" i="3"/>
  <c r="Y110" i="3"/>
  <c r="X110" i="3"/>
  <c r="V110" i="3"/>
  <c r="U110" i="3"/>
  <c r="T110" i="3"/>
  <c r="M110" i="3"/>
  <c r="L110" i="3"/>
  <c r="J110" i="3"/>
  <c r="AA109" i="3"/>
  <c r="Z109" i="3"/>
  <c r="Y109" i="3"/>
  <c r="X109" i="3"/>
  <c r="V109" i="3"/>
  <c r="U109" i="3"/>
  <c r="T109" i="3"/>
  <c r="M109" i="3"/>
  <c r="L109" i="3"/>
  <c r="J109" i="3"/>
  <c r="AA108" i="3"/>
  <c r="Z108" i="3"/>
  <c r="Y108" i="3"/>
  <c r="X108" i="3"/>
  <c r="V108" i="3"/>
  <c r="U108" i="3"/>
  <c r="T108" i="3"/>
  <c r="M108" i="3"/>
  <c r="L108" i="3"/>
  <c r="J108" i="3"/>
  <c r="AA107" i="3"/>
  <c r="Z107" i="3"/>
  <c r="Y107" i="3"/>
  <c r="X107" i="3"/>
  <c r="V107" i="3"/>
  <c r="U107" i="3"/>
  <c r="T107" i="3"/>
  <c r="M107" i="3"/>
  <c r="L107" i="3"/>
  <c r="J107" i="3"/>
  <c r="AA106" i="3"/>
  <c r="Z106" i="3"/>
  <c r="Y106" i="3"/>
  <c r="X106" i="3"/>
  <c r="V106" i="3"/>
  <c r="U106" i="3"/>
  <c r="T106" i="3"/>
  <c r="M106" i="3"/>
  <c r="L106" i="3"/>
  <c r="J106" i="3"/>
  <c r="AA105" i="3"/>
  <c r="Z105" i="3"/>
  <c r="Y105" i="3"/>
  <c r="X105" i="3"/>
  <c r="V105" i="3"/>
  <c r="U105" i="3"/>
  <c r="T105" i="3"/>
  <c r="M105" i="3"/>
  <c r="L105" i="3"/>
  <c r="J105" i="3"/>
  <c r="AA104" i="3"/>
  <c r="Z104" i="3"/>
  <c r="Y104" i="3"/>
  <c r="X104" i="3"/>
  <c r="V104" i="3"/>
  <c r="U104" i="3"/>
  <c r="T104" i="3"/>
  <c r="M104" i="3"/>
  <c r="L104" i="3"/>
  <c r="J104" i="3"/>
  <c r="AA103" i="3"/>
  <c r="Z103" i="3"/>
  <c r="Y103" i="3"/>
  <c r="X103" i="3"/>
  <c r="V103" i="3"/>
  <c r="U103" i="3"/>
  <c r="T103" i="3"/>
  <c r="M103" i="3"/>
  <c r="L103" i="3"/>
  <c r="J103" i="3"/>
  <c r="AA102" i="3"/>
  <c r="Z102" i="3"/>
  <c r="Y102" i="3"/>
  <c r="X102" i="3"/>
  <c r="V102" i="3"/>
  <c r="U102" i="3"/>
  <c r="T102" i="3"/>
  <c r="M102" i="3"/>
  <c r="L102" i="3"/>
  <c r="J102" i="3"/>
  <c r="AA101" i="3"/>
  <c r="Z101" i="3"/>
  <c r="Y101" i="3"/>
  <c r="X101" i="3"/>
  <c r="V101" i="3"/>
  <c r="U101" i="3"/>
  <c r="T101" i="3"/>
  <c r="M101" i="3"/>
  <c r="L101" i="3"/>
  <c r="J101" i="3"/>
  <c r="AA100" i="3"/>
  <c r="Z100" i="3"/>
  <c r="Y100" i="3"/>
  <c r="X100" i="3"/>
  <c r="V100" i="3"/>
  <c r="U100" i="3"/>
  <c r="T100" i="3"/>
  <c r="M100" i="3"/>
  <c r="L100" i="3"/>
  <c r="J100" i="3"/>
  <c r="AA99" i="3"/>
  <c r="Z99" i="3"/>
  <c r="Y99" i="3"/>
  <c r="X99" i="3"/>
  <c r="V99" i="3"/>
  <c r="U99" i="3"/>
  <c r="T99" i="3"/>
  <c r="M99" i="3"/>
  <c r="L99" i="3"/>
  <c r="J99" i="3"/>
  <c r="AA98" i="3"/>
  <c r="Z98" i="3"/>
  <c r="Y98" i="3"/>
  <c r="X98" i="3"/>
  <c r="V98" i="3"/>
  <c r="U98" i="3"/>
  <c r="T98" i="3"/>
  <c r="M98" i="3"/>
  <c r="L98" i="3"/>
  <c r="J98" i="3"/>
  <c r="AA97" i="3"/>
  <c r="Z97" i="3"/>
  <c r="Y97" i="3"/>
  <c r="X97" i="3"/>
  <c r="V97" i="3"/>
  <c r="U97" i="3"/>
  <c r="T97" i="3"/>
  <c r="M97" i="3"/>
  <c r="L97" i="3"/>
  <c r="J97" i="3"/>
  <c r="AA96" i="3"/>
  <c r="Z96" i="3"/>
  <c r="Y96" i="3"/>
  <c r="X96" i="3"/>
  <c r="V96" i="3"/>
  <c r="U96" i="3"/>
  <c r="T96" i="3"/>
  <c r="M96" i="3"/>
  <c r="L96" i="3"/>
  <c r="J96" i="3"/>
  <c r="AA95" i="3"/>
  <c r="Z95" i="3"/>
  <c r="Y95" i="3"/>
  <c r="X95" i="3"/>
  <c r="V95" i="3"/>
  <c r="U95" i="3"/>
  <c r="T95" i="3"/>
  <c r="M95" i="3"/>
  <c r="L95" i="3"/>
  <c r="J95" i="3"/>
  <c r="AA94" i="3"/>
  <c r="Z94" i="3"/>
  <c r="Y94" i="3"/>
  <c r="X94" i="3"/>
  <c r="V94" i="3"/>
  <c r="U94" i="3"/>
  <c r="T94" i="3"/>
  <c r="M94" i="3"/>
  <c r="L94" i="3"/>
  <c r="J94" i="3"/>
  <c r="AA93" i="3"/>
  <c r="Z93" i="3"/>
  <c r="Y93" i="3"/>
  <c r="X93" i="3"/>
  <c r="V93" i="3"/>
  <c r="U93" i="3"/>
  <c r="T93" i="3"/>
  <c r="M93" i="3"/>
  <c r="L93" i="3"/>
  <c r="J93" i="3"/>
  <c r="AA92" i="3"/>
  <c r="Z92" i="3"/>
  <c r="Y92" i="3"/>
  <c r="X92" i="3"/>
  <c r="V92" i="3"/>
  <c r="U92" i="3"/>
  <c r="T92" i="3"/>
  <c r="M92" i="3"/>
  <c r="L92" i="3"/>
  <c r="J92" i="3"/>
  <c r="AA91" i="3"/>
  <c r="Z91" i="3"/>
  <c r="Y91" i="3"/>
  <c r="X91" i="3"/>
  <c r="V91" i="3"/>
  <c r="U91" i="3"/>
  <c r="T91" i="3"/>
  <c r="M91" i="3"/>
  <c r="L91" i="3"/>
  <c r="J91" i="3"/>
  <c r="AA90" i="3"/>
  <c r="Z90" i="3"/>
  <c r="Y90" i="3"/>
  <c r="X90" i="3"/>
  <c r="V90" i="3"/>
  <c r="U90" i="3"/>
  <c r="T90" i="3"/>
  <c r="M90" i="3"/>
  <c r="L90" i="3"/>
  <c r="J90" i="3"/>
  <c r="AA89" i="3"/>
  <c r="Z89" i="3"/>
  <c r="Y89" i="3"/>
  <c r="X89" i="3"/>
  <c r="V89" i="3"/>
  <c r="U89" i="3"/>
  <c r="T89" i="3"/>
  <c r="M89" i="3"/>
  <c r="L89" i="3"/>
  <c r="J89" i="3"/>
  <c r="AA88" i="3"/>
  <c r="Z88" i="3"/>
  <c r="Y88" i="3"/>
  <c r="X88" i="3"/>
  <c r="V88" i="3"/>
  <c r="U88" i="3"/>
  <c r="T88" i="3"/>
  <c r="M88" i="3"/>
  <c r="L88" i="3"/>
  <c r="J88" i="3"/>
  <c r="AA87" i="3"/>
  <c r="Z87" i="3"/>
  <c r="Y87" i="3"/>
  <c r="X87" i="3"/>
  <c r="V87" i="3"/>
  <c r="U87" i="3"/>
  <c r="T87" i="3"/>
  <c r="M87" i="3"/>
  <c r="L87" i="3"/>
  <c r="J87" i="3"/>
  <c r="AA86" i="3"/>
  <c r="Z86" i="3"/>
  <c r="Y86" i="3"/>
  <c r="X86" i="3"/>
  <c r="V86" i="3"/>
  <c r="U86" i="3"/>
  <c r="T86" i="3"/>
  <c r="M86" i="3"/>
  <c r="L86" i="3"/>
  <c r="J86" i="3"/>
  <c r="AA85" i="3"/>
  <c r="Z85" i="3"/>
  <c r="Y85" i="3"/>
  <c r="X85" i="3"/>
  <c r="V85" i="3"/>
  <c r="U85" i="3"/>
  <c r="T85" i="3"/>
  <c r="M85" i="3"/>
  <c r="L85" i="3"/>
  <c r="J85" i="3"/>
  <c r="AA84" i="3"/>
  <c r="Z84" i="3"/>
  <c r="Y84" i="3"/>
  <c r="X84" i="3"/>
  <c r="V84" i="3"/>
  <c r="U84" i="3"/>
  <c r="T84" i="3"/>
  <c r="M84" i="3"/>
  <c r="L84" i="3"/>
  <c r="J84" i="3"/>
  <c r="AA83" i="3"/>
  <c r="Z83" i="3"/>
  <c r="Y83" i="3"/>
  <c r="X83" i="3"/>
  <c r="V83" i="3"/>
  <c r="U83" i="3"/>
  <c r="T83" i="3"/>
  <c r="M83" i="3"/>
  <c r="L83" i="3"/>
  <c r="J83" i="3"/>
  <c r="AA82" i="3"/>
  <c r="Z82" i="3"/>
  <c r="Y82" i="3"/>
  <c r="X82" i="3"/>
  <c r="V82" i="3"/>
  <c r="U82" i="3"/>
  <c r="T82" i="3"/>
  <c r="M82" i="3"/>
  <c r="L82" i="3"/>
  <c r="J82" i="3"/>
  <c r="AA81" i="3"/>
  <c r="Z81" i="3"/>
  <c r="Y81" i="3"/>
  <c r="X81" i="3"/>
  <c r="V81" i="3"/>
  <c r="U81" i="3"/>
  <c r="T81" i="3"/>
  <c r="M81" i="3"/>
  <c r="L81" i="3"/>
  <c r="J81" i="3"/>
  <c r="AA80" i="3"/>
  <c r="Z80" i="3"/>
  <c r="Y80" i="3"/>
  <c r="X80" i="3"/>
  <c r="V80" i="3"/>
  <c r="U80" i="3"/>
  <c r="T80" i="3"/>
  <c r="M80" i="3"/>
  <c r="L80" i="3"/>
  <c r="J80" i="3"/>
  <c r="AA79" i="3"/>
  <c r="Z79" i="3"/>
  <c r="Y79" i="3"/>
  <c r="X79" i="3"/>
  <c r="V79" i="3"/>
  <c r="U79" i="3"/>
  <c r="T79" i="3"/>
  <c r="M79" i="3"/>
  <c r="L79" i="3"/>
  <c r="J79" i="3"/>
  <c r="AA78" i="3"/>
  <c r="Z78" i="3"/>
  <c r="Y78" i="3"/>
  <c r="X78" i="3"/>
  <c r="V78" i="3"/>
  <c r="U78" i="3"/>
  <c r="T78" i="3"/>
  <c r="M78" i="3"/>
  <c r="L78" i="3"/>
  <c r="J78" i="3"/>
  <c r="AA77" i="3"/>
  <c r="Z77" i="3"/>
  <c r="Y77" i="3"/>
  <c r="X77" i="3"/>
  <c r="V77" i="3"/>
  <c r="U77" i="3"/>
  <c r="T77" i="3"/>
  <c r="M77" i="3"/>
  <c r="L77" i="3"/>
  <c r="J77" i="3"/>
  <c r="AA76" i="3"/>
  <c r="Z76" i="3"/>
  <c r="Y76" i="3"/>
  <c r="X76" i="3"/>
  <c r="V76" i="3"/>
  <c r="U76" i="3"/>
  <c r="T76" i="3"/>
  <c r="M76" i="3"/>
  <c r="L76" i="3"/>
  <c r="J76" i="3"/>
  <c r="AA75" i="3"/>
  <c r="Z75" i="3"/>
  <c r="Y75" i="3"/>
  <c r="X75" i="3"/>
  <c r="V75" i="3"/>
  <c r="U75" i="3"/>
  <c r="T75" i="3"/>
  <c r="M75" i="3"/>
  <c r="L75" i="3"/>
  <c r="J75" i="3"/>
  <c r="AA74" i="3"/>
  <c r="Z74" i="3"/>
  <c r="Y74" i="3"/>
  <c r="X74" i="3"/>
  <c r="V74" i="3"/>
  <c r="U74" i="3"/>
  <c r="T74" i="3"/>
  <c r="M74" i="3"/>
  <c r="L74" i="3"/>
  <c r="J74" i="3"/>
  <c r="AA73" i="3"/>
  <c r="Z73" i="3"/>
  <c r="Y73" i="3"/>
  <c r="X73" i="3"/>
  <c r="V73" i="3"/>
  <c r="U73" i="3"/>
  <c r="T73" i="3"/>
  <c r="M73" i="3"/>
  <c r="L73" i="3"/>
  <c r="J73" i="3"/>
  <c r="AA72" i="3"/>
  <c r="Z72" i="3"/>
  <c r="Y72" i="3"/>
  <c r="X72" i="3"/>
  <c r="V72" i="3"/>
  <c r="U72" i="3"/>
  <c r="T72" i="3"/>
  <c r="M72" i="3"/>
  <c r="L72" i="3"/>
  <c r="J72" i="3"/>
  <c r="AA71" i="3"/>
  <c r="Z71" i="3"/>
  <c r="Y71" i="3"/>
  <c r="X71" i="3"/>
  <c r="V71" i="3"/>
  <c r="U71" i="3"/>
  <c r="T71" i="3"/>
  <c r="M71" i="3"/>
  <c r="L71" i="3"/>
  <c r="J71" i="3"/>
  <c r="AA70" i="3"/>
  <c r="Z70" i="3"/>
  <c r="Y70" i="3"/>
  <c r="X70" i="3"/>
  <c r="V70" i="3"/>
  <c r="U70" i="3"/>
  <c r="T70" i="3"/>
  <c r="M70" i="3"/>
  <c r="L70" i="3"/>
  <c r="J70" i="3"/>
  <c r="AA69" i="3"/>
  <c r="Z69" i="3"/>
  <c r="Y69" i="3"/>
  <c r="X69" i="3"/>
  <c r="V69" i="3"/>
  <c r="U69" i="3"/>
  <c r="T69" i="3"/>
  <c r="M69" i="3"/>
  <c r="L69" i="3"/>
  <c r="J69" i="3"/>
  <c r="AA68" i="3"/>
  <c r="Z68" i="3"/>
  <c r="Y68" i="3"/>
  <c r="X68" i="3"/>
  <c r="V68" i="3"/>
  <c r="U68" i="3"/>
  <c r="T68" i="3"/>
  <c r="M68" i="3"/>
  <c r="L68" i="3"/>
  <c r="J68" i="3"/>
  <c r="AA67" i="3"/>
  <c r="Z67" i="3"/>
  <c r="Y67" i="3"/>
  <c r="X67" i="3"/>
  <c r="V67" i="3"/>
  <c r="U67" i="3"/>
  <c r="T67" i="3"/>
  <c r="M67" i="3"/>
  <c r="L67" i="3"/>
  <c r="J67" i="3"/>
  <c r="AA66" i="3"/>
  <c r="Z66" i="3"/>
  <c r="Y66" i="3"/>
  <c r="X66" i="3"/>
  <c r="V66" i="3"/>
  <c r="U66" i="3"/>
  <c r="T66" i="3"/>
  <c r="M66" i="3"/>
  <c r="L66" i="3"/>
  <c r="J66" i="3"/>
  <c r="AA65" i="3"/>
  <c r="Z65" i="3"/>
  <c r="Y65" i="3"/>
  <c r="X65" i="3"/>
  <c r="V65" i="3"/>
  <c r="U65" i="3"/>
  <c r="T65" i="3"/>
  <c r="M65" i="3"/>
  <c r="L65" i="3"/>
  <c r="J65" i="3"/>
  <c r="AA64" i="3"/>
  <c r="Z64" i="3"/>
  <c r="Y64" i="3"/>
  <c r="X64" i="3"/>
  <c r="V64" i="3"/>
  <c r="U64" i="3"/>
  <c r="T64" i="3"/>
  <c r="M64" i="3"/>
  <c r="L64" i="3"/>
  <c r="J64" i="3"/>
  <c r="AA63" i="3"/>
  <c r="Z63" i="3"/>
  <c r="Y63" i="3"/>
  <c r="X63" i="3"/>
  <c r="V63" i="3"/>
  <c r="U63" i="3"/>
  <c r="T63" i="3"/>
  <c r="M63" i="3"/>
  <c r="L63" i="3"/>
  <c r="J63" i="3"/>
  <c r="AA62" i="3"/>
  <c r="Z62" i="3"/>
  <c r="Y62" i="3"/>
  <c r="X62" i="3"/>
  <c r="V62" i="3"/>
  <c r="U62" i="3"/>
  <c r="T62" i="3"/>
  <c r="M62" i="3"/>
  <c r="L62" i="3"/>
  <c r="J62" i="3"/>
  <c r="AA61" i="3"/>
  <c r="Z61" i="3"/>
  <c r="Y61" i="3"/>
  <c r="X61" i="3"/>
  <c r="V61" i="3"/>
  <c r="U61" i="3"/>
  <c r="T61" i="3"/>
  <c r="M61" i="3"/>
  <c r="L61" i="3"/>
  <c r="J61" i="3"/>
  <c r="AA60" i="3"/>
  <c r="Z60" i="3"/>
  <c r="Y60" i="3"/>
  <c r="X60" i="3"/>
  <c r="V60" i="3"/>
  <c r="U60" i="3"/>
  <c r="T60" i="3"/>
  <c r="M60" i="3"/>
  <c r="L60" i="3"/>
  <c r="J60" i="3"/>
  <c r="AA59" i="3"/>
  <c r="Z59" i="3"/>
  <c r="Y59" i="3"/>
  <c r="X59" i="3"/>
  <c r="V59" i="3"/>
  <c r="U59" i="3"/>
  <c r="T59" i="3"/>
  <c r="M59" i="3"/>
  <c r="L59" i="3"/>
  <c r="J59" i="3"/>
  <c r="AA58" i="3"/>
  <c r="Z58" i="3"/>
  <c r="Y58" i="3"/>
  <c r="X58" i="3"/>
  <c r="V58" i="3"/>
  <c r="U58" i="3"/>
  <c r="T58" i="3"/>
  <c r="M58" i="3"/>
  <c r="L58" i="3"/>
  <c r="J58" i="3"/>
  <c r="AA57" i="3"/>
  <c r="Z57" i="3"/>
  <c r="Y57" i="3"/>
  <c r="X57" i="3"/>
  <c r="V57" i="3"/>
  <c r="U57" i="3"/>
  <c r="T57" i="3"/>
  <c r="M57" i="3"/>
  <c r="L57" i="3"/>
  <c r="J57" i="3"/>
  <c r="AA56" i="3"/>
  <c r="Z56" i="3"/>
  <c r="Y56" i="3"/>
  <c r="X56" i="3"/>
  <c r="V56" i="3"/>
  <c r="U56" i="3"/>
  <c r="T56" i="3"/>
  <c r="M56" i="3"/>
  <c r="L56" i="3"/>
  <c r="J56" i="3"/>
  <c r="AA55" i="3"/>
  <c r="Z55" i="3"/>
  <c r="Y55" i="3"/>
  <c r="X55" i="3"/>
  <c r="V55" i="3"/>
  <c r="U55" i="3"/>
  <c r="T55" i="3"/>
  <c r="M55" i="3"/>
  <c r="L55" i="3"/>
  <c r="J55" i="3"/>
  <c r="AA54" i="3"/>
  <c r="Z54" i="3"/>
  <c r="Y54" i="3"/>
  <c r="X54" i="3"/>
  <c r="V54" i="3"/>
  <c r="U54" i="3"/>
  <c r="T54" i="3"/>
  <c r="M54" i="3"/>
  <c r="L54" i="3"/>
  <c r="J54" i="3"/>
  <c r="AA53" i="3"/>
  <c r="Z53" i="3"/>
  <c r="Y53" i="3"/>
  <c r="X53" i="3"/>
  <c r="V53" i="3"/>
  <c r="U53" i="3"/>
  <c r="T53" i="3"/>
  <c r="M53" i="3"/>
  <c r="L53" i="3"/>
  <c r="J53" i="3"/>
  <c r="AA52" i="3"/>
  <c r="Z52" i="3"/>
  <c r="Y52" i="3"/>
  <c r="X52" i="3"/>
  <c r="V52" i="3"/>
  <c r="U52" i="3"/>
  <c r="T52" i="3"/>
  <c r="M52" i="3"/>
  <c r="L52" i="3"/>
  <c r="J52" i="3"/>
  <c r="AA51" i="3"/>
  <c r="Z51" i="3"/>
  <c r="Y51" i="3"/>
  <c r="X51" i="3"/>
  <c r="V51" i="3"/>
  <c r="U51" i="3"/>
  <c r="T51" i="3"/>
  <c r="M51" i="3"/>
  <c r="L51" i="3"/>
  <c r="J51" i="3"/>
  <c r="AA50" i="3"/>
  <c r="Z50" i="3"/>
  <c r="Y50" i="3"/>
  <c r="X50" i="3"/>
  <c r="V50" i="3"/>
  <c r="U50" i="3"/>
  <c r="T50" i="3"/>
  <c r="M50" i="3"/>
  <c r="L50" i="3"/>
  <c r="J50" i="3"/>
  <c r="AA49" i="3"/>
  <c r="Z49" i="3"/>
  <c r="Y49" i="3"/>
  <c r="X49" i="3"/>
  <c r="V49" i="3"/>
  <c r="U49" i="3"/>
  <c r="T49" i="3"/>
  <c r="M49" i="3"/>
  <c r="L49" i="3"/>
  <c r="J49" i="3"/>
  <c r="AA48" i="3"/>
  <c r="Z48" i="3"/>
  <c r="Y48" i="3"/>
  <c r="X48" i="3"/>
  <c r="V48" i="3"/>
  <c r="U48" i="3"/>
  <c r="T48" i="3"/>
  <c r="M48" i="3"/>
  <c r="L48" i="3"/>
  <c r="J48" i="3"/>
  <c r="AA47" i="3"/>
  <c r="Z47" i="3"/>
  <c r="Y47" i="3"/>
  <c r="X47" i="3"/>
  <c r="V47" i="3"/>
  <c r="U47" i="3"/>
  <c r="T47" i="3"/>
  <c r="M47" i="3"/>
  <c r="L47" i="3"/>
  <c r="J47" i="3"/>
  <c r="AA46" i="3"/>
  <c r="Z46" i="3"/>
  <c r="Y46" i="3"/>
  <c r="X46" i="3"/>
  <c r="V46" i="3"/>
  <c r="U46" i="3"/>
  <c r="T46" i="3"/>
  <c r="M46" i="3"/>
  <c r="L46" i="3"/>
  <c r="J46" i="3"/>
  <c r="AA45" i="3"/>
  <c r="Z45" i="3"/>
  <c r="Y45" i="3"/>
  <c r="X45" i="3"/>
  <c r="V45" i="3"/>
  <c r="U45" i="3"/>
  <c r="T45" i="3"/>
  <c r="M45" i="3"/>
  <c r="L45" i="3"/>
  <c r="J45" i="3"/>
  <c r="AA44" i="3"/>
  <c r="Z44" i="3"/>
  <c r="Y44" i="3"/>
  <c r="X44" i="3"/>
  <c r="V44" i="3"/>
  <c r="U44" i="3"/>
  <c r="T44" i="3"/>
  <c r="M44" i="3"/>
  <c r="L44" i="3"/>
  <c r="J44" i="3"/>
  <c r="AA43" i="3"/>
  <c r="Z43" i="3"/>
  <c r="Y43" i="3"/>
  <c r="X43" i="3"/>
  <c r="V43" i="3"/>
  <c r="U43" i="3"/>
  <c r="T43" i="3"/>
  <c r="M43" i="3"/>
  <c r="L43" i="3"/>
  <c r="J43" i="3"/>
  <c r="AA42" i="3"/>
  <c r="Z42" i="3"/>
  <c r="Y42" i="3"/>
  <c r="X42" i="3"/>
  <c r="V42" i="3"/>
  <c r="U42" i="3"/>
  <c r="T42" i="3"/>
  <c r="M42" i="3"/>
  <c r="L42" i="3"/>
  <c r="J42" i="3"/>
  <c r="AA41" i="3"/>
  <c r="Z41" i="3"/>
  <c r="Y41" i="3"/>
  <c r="X41" i="3"/>
  <c r="V41" i="3"/>
  <c r="U41" i="3"/>
  <c r="T41" i="3"/>
  <c r="M41" i="3"/>
  <c r="L41" i="3"/>
  <c r="J41" i="3"/>
  <c r="AA40" i="3"/>
  <c r="Z40" i="3"/>
  <c r="Y40" i="3"/>
  <c r="X40" i="3"/>
  <c r="V40" i="3"/>
  <c r="U40" i="3"/>
  <c r="T40" i="3"/>
  <c r="M40" i="3"/>
  <c r="L40" i="3"/>
  <c r="J40" i="3"/>
  <c r="AA39" i="3"/>
  <c r="Z39" i="3"/>
  <c r="Y39" i="3"/>
  <c r="X39" i="3"/>
  <c r="V39" i="3"/>
  <c r="U39" i="3"/>
  <c r="T39" i="3"/>
  <c r="M39" i="3"/>
  <c r="L39" i="3"/>
  <c r="J39" i="3"/>
  <c r="AA38" i="3"/>
  <c r="Z38" i="3"/>
  <c r="Y38" i="3"/>
  <c r="X38" i="3"/>
  <c r="V38" i="3"/>
  <c r="U38" i="3"/>
  <c r="T38" i="3"/>
  <c r="M38" i="3"/>
  <c r="L38" i="3"/>
  <c r="J38" i="3"/>
  <c r="AA37" i="3"/>
  <c r="Z37" i="3"/>
  <c r="Y37" i="3"/>
  <c r="X37" i="3"/>
  <c r="V37" i="3"/>
  <c r="U37" i="3"/>
  <c r="T37" i="3"/>
  <c r="M37" i="3"/>
  <c r="L37" i="3"/>
  <c r="J37" i="3"/>
  <c r="AA36" i="3"/>
  <c r="Z36" i="3"/>
  <c r="Y36" i="3"/>
  <c r="X36" i="3"/>
  <c r="V36" i="3"/>
  <c r="U36" i="3"/>
  <c r="T36" i="3"/>
  <c r="M36" i="3"/>
  <c r="L36" i="3"/>
  <c r="J36" i="3"/>
  <c r="AA35" i="3"/>
  <c r="Z35" i="3"/>
  <c r="Y35" i="3"/>
  <c r="X35" i="3"/>
  <c r="V35" i="3"/>
  <c r="U35" i="3"/>
  <c r="T35" i="3"/>
  <c r="M35" i="3"/>
  <c r="L35" i="3"/>
  <c r="J35" i="3"/>
  <c r="AA34" i="3"/>
  <c r="Z34" i="3"/>
  <c r="Y34" i="3"/>
  <c r="X34" i="3"/>
  <c r="V34" i="3"/>
  <c r="U34" i="3"/>
  <c r="T34" i="3"/>
  <c r="M34" i="3"/>
  <c r="L34" i="3"/>
  <c r="J34" i="3"/>
  <c r="AA33" i="3"/>
  <c r="Z33" i="3"/>
  <c r="Y33" i="3"/>
  <c r="X33" i="3"/>
  <c r="V33" i="3"/>
  <c r="U33" i="3"/>
  <c r="T33" i="3"/>
  <c r="M33" i="3"/>
  <c r="L33" i="3"/>
  <c r="J33" i="3"/>
  <c r="AA32" i="3"/>
  <c r="Z32" i="3"/>
  <c r="Y32" i="3"/>
  <c r="X32" i="3"/>
  <c r="V32" i="3"/>
  <c r="U32" i="3"/>
  <c r="T32" i="3"/>
  <c r="M32" i="3"/>
  <c r="L32" i="3"/>
  <c r="J32" i="3"/>
  <c r="AA31" i="3"/>
  <c r="Z31" i="3"/>
  <c r="Y31" i="3"/>
  <c r="X31" i="3"/>
  <c r="V31" i="3"/>
  <c r="U31" i="3"/>
  <c r="T31" i="3"/>
  <c r="M31" i="3"/>
  <c r="L31" i="3"/>
  <c r="J31" i="3"/>
  <c r="AA30" i="3"/>
  <c r="Z30" i="3"/>
  <c r="Y30" i="3"/>
  <c r="X30" i="3"/>
  <c r="V30" i="3"/>
  <c r="U30" i="3"/>
  <c r="T30" i="3"/>
  <c r="M30" i="3"/>
  <c r="L30" i="3"/>
  <c r="J30" i="3"/>
  <c r="AA29" i="3"/>
  <c r="Z29" i="3"/>
  <c r="Y29" i="3"/>
  <c r="X29" i="3"/>
  <c r="V29" i="3"/>
  <c r="U29" i="3"/>
  <c r="T29" i="3"/>
  <c r="M29" i="3"/>
  <c r="L29" i="3"/>
  <c r="J29" i="3"/>
  <c r="AA28" i="3"/>
  <c r="Z28" i="3"/>
  <c r="Y28" i="3"/>
  <c r="X28" i="3"/>
  <c r="V28" i="3"/>
  <c r="U28" i="3"/>
  <c r="T28" i="3"/>
  <c r="M28" i="3"/>
  <c r="L28" i="3"/>
  <c r="J28" i="3"/>
  <c r="AA27" i="3"/>
  <c r="Z27" i="3"/>
  <c r="Y27" i="3"/>
  <c r="X27" i="3"/>
  <c r="V27" i="3"/>
  <c r="U27" i="3"/>
  <c r="T27" i="3"/>
  <c r="M27" i="3"/>
  <c r="L27" i="3"/>
  <c r="J27" i="3"/>
  <c r="AA26" i="3"/>
  <c r="Z26" i="3"/>
  <c r="Y26" i="3"/>
  <c r="X26" i="3"/>
  <c r="V26" i="3"/>
  <c r="U26" i="3"/>
  <c r="T26" i="3"/>
  <c r="M26" i="3"/>
  <c r="L26" i="3"/>
  <c r="J26" i="3"/>
  <c r="AA25" i="3"/>
  <c r="Z25" i="3"/>
  <c r="Y25" i="3"/>
  <c r="X25" i="3"/>
  <c r="V25" i="3"/>
  <c r="U25" i="3"/>
  <c r="T25" i="3"/>
  <c r="M25" i="3"/>
  <c r="L25" i="3"/>
  <c r="J25" i="3"/>
  <c r="AA24" i="3"/>
  <c r="Z24" i="3"/>
  <c r="Y24" i="3"/>
  <c r="X24" i="3"/>
  <c r="V24" i="3"/>
  <c r="U24" i="3"/>
  <c r="T24" i="3"/>
  <c r="M24" i="3"/>
  <c r="L24" i="3"/>
  <c r="J24" i="3"/>
  <c r="AA23" i="3"/>
  <c r="Z23" i="3"/>
  <c r="Y23" i="3"/>
  <c r="X23" i="3"/>
  <c r="V23" i="3"/>
  <c r="U23" i="3"/>
  <c r="T23" i="3"/>
  <c r="M23" i="3"/>
  <c r="L23" i="3"/>
  <c r="J23" i="3"/>
  <c r="AA22" i="3"/>
  <c r="Z22" i="3"/>
  <c r="Y22" i="3"/>
  <c r="X22" i="3"/>
  <c r="V22" i="3"/>
  <c r="U22" i="3"/>
  <c r="T22" i="3"/>
  <c r="M22" i="3"/>
  <c r="L22" i="3"/>
  <c r="J22" i="3"/>
  <c r="AA21" i="3"/>
  <c r="Z21" i="3"/>
  <c r="Y21" i="3"/>
  <c r="X21" i="3"/>
  <c r="V21" i="3"/>
  <c r="U21" i="3"/>
  <c r="T21" i="3"/>
  <c r="M21" i="3"/>
  <c r="L21" i="3"/>
  <c r="J21" i="3"/>
  <c r="AA20" i="3"/>
  <c r="Z20" i="3"/>
  <c r="Y20" i="3"/>
  <c r="X20" i="3"/>
  <c r="V20" i="3"/>
  <c r="U20" i="3"/>
  <c r="T20" i="3"/>
  <c r="M20" i="3"/>
  <c r="L20" i="3"/>
  <c r="J20" i="3"/>
  <c r="AA19" i="3"/>
  <c r="Z19" i="3"/>
  <c r="Y19" i="3"/>
  <c r="X19" i="3"/>
  <c r="V19" i="3"/>
  <c r="U19" i="3"/>
  <c r="T19" i="3"/>
  <c r="M19" i="3"/>
  <c r="L19" i="3"/>
  <c r="J19" i="3"/>
  <c r="AA18" i="3"/>
  <c r="Z18" i="3"/>
  <c r="Y18" i="3"/>
  <c r="X18" i="3"/>
  <c r="V18" i="3"/>
  <c r="U18" i="3"/>
  <c r="T18" i="3"/>
  <c r="M18" i="3"/>
  <c r="L18" i="3"/>
  <c r="J18" i="3"/>
  <c r="AA17" i="3"/>
  <c r="Z17" i="3"/>
  <c r="Y17" i="3"/>
  <c r="X17" i="3"/>
  <c r="V17" i="3"/>
  <c r="U17" i="3"/>
  <c r="T17" i="3"/>
  <c r="M17" i="3"/>
  <c r="L17" i="3"/>
  <c r="J17" i="3"/>
  <c r="AA16" i="3"/>
  <c r="Z16" i="3"/>
  <c r="Y16" i="3"/>
  <c r="X16" i="3"/>
  <c r="V16" i="3"/>
  <c r="U16" i="3"/>
  <c r="T16" i="3"/>
  <c r="M16" i="3"/>
  <c r="L16" i="3"/>
  <c r="J16" i="3"/>
  <c r="AA15" i="3"/>
  <c r="Z15" i="3"/>
  <c r="Y15" i="3"/>
  <c r="X15" i="3"/>
  <c r="V15" i="3"/>
  <c r="U15" i="3"/>
  <c r="T15" i="3"/>
  <c r="M15" i="3"/>
  <c r="L15" i="3"/>
  <c r="J15" i="3"/>
  <c r="AA14" i="3"/>
  <c r="Z14" i="3"/>
  <c r="Y14" i="3"/>
  <c r="X14" i="3"/>
  <c r="V14" i="3"/>
  <c r="U14" i="3"/>
  <c r="T14" i="3"/>
  <c r="M14" i="3"/>
  <c r="L14" i="3"/>
  <c r="J14" i="3"/>
  <c r="AA13" i="3"/>
  <c r="Z13" i="3"/>
  <c r="Y13" i="3"/>
  <c r="X13" i="3"/>
  <c r="V13" i="3"/>
  <c r="U13" i="3"/>
  <c r="T13" i="3"/>
  <c r="M13" i="3"/>
  <c r="L13" i="3"/>
  <c r="J13" i="3"/>
  <c r="AA12" i="3"/>
  <c r="Z12" i="3"/>
  <c r="Y12" i="3"/>
  <c r="X12" i="3"/>
  <c r="V12" i="3"/>
  <c r="U12" i="3"/>
  <c r="T12" i="3"/>
  <c r="M12" i="3"/>
  <c r="L12" i="3"/>
  <c r="J12" i="3"/>
  <c r="AA11" i="3"/>
  <c r="Z11" i="3"/>
  <c r="Y11" i="3"/>
  <c r="X11" i="3"/>
  <c r="V11" i="3"/>
  <c r="U11" i="3"/>
  <c r="T11" i="3"/>
  <c r="M11" i="3"/>
  <c r="L11" i="3"/>
  <c r="J11" i="3"/>
  <c r="AA10" i="3"/>
  <c r="Z10" i="3"/>
  <c r="Y10" i="3"/>
  <c r="X10" i="3"/>
  <c r="V10" i="3"/>
  <c r="U10" i="3"/>
  <c r="T10" i="3"/>
  <c r="M10" i="3"/>
  <c r="L10" i="3"/>
  <c r="J10" i="3"/>
  <c r="AA9" i="3"/>
  <c r="Z9" i="3"/>
  <c r="Y9" i="3"/>
  <c r="X9" i="3"/>
  <c r="V9" i="3"/>
  <c r="U9" i="3"/>
  <c r="T9" i="3"/>
  <c r="M9" i="3"/>
  <c r="L9" i="3"/>
  <c r="J9" i="3"/>
  <c r="AA8" i="3"/>
  <c r="Z8" i="3"/>
  <c r="Y8" i="3"/>
  <c r="X8" i="3"/>
  <c r="V8" i="3"/>
  <c r="U8" i="3"/>
  <c r="T8" i="3"/>
  <c r="M8" i="3"/>
  <c r="L8" i="3"/>
  <c r="J8" i="3"/>
  <c r="AA7" i="3"/>
  <c r="Z7" i="3"/>
  <c r="Y7" i="3"/>
  <c r="X7" i="3"/>
  <c r="V7" i="3"/>
  <c r="U7" i="3"/>
  <c r="T7" i="3"/>
  <c r="M7" i="3"/>
  <c r="L7" i="3"/>
  <c r="J7" i="3"/>
  <c r="AA6" i="3"/>
  <c r="Z6" i="3"/>
  <c r="Y6" i="3"/>
  <c r="X6" i="3"/>
  <c r="V6" i="3"/>
  <c r="U6" i="3"/>
  <c r="T6" i="3"/>
  <c r="M6" i="3"/>
  <c r="L6" i="3"/>
  <c r="J6" i="3"/>
  <c r="AA5" i="3"/>
  <c r="Z5" i="3"/>
  <c r="Y5" i="3"/>
  <c r="X5" i="3"/>
  <c r="V5" i="3"/>
  <c r="U5" i="3"/>
  <c r="T5" i="3"/>
  <c r="M5" i="3"/>
  <c r="L5" i="3"/>
  <c r="J5" i="3"/>
  <c r="AA4" i="3"/>
  <c r="Z4" i="3"/>
  <c r="Y4" i="3"/>
  <c r="X4" i="3"/>
  <c r="V4" i="3"/>
  <c r="U4" i="3"/>
  <c r="T4" i="3"/>
  <c r="M4" i="3"/>
  <c r="L4" i="3"/>
  <c r="J4" i="3"/>
  <c r="AA3" i="3"/>
  <c r="Z3" i="3"/>
  <c r="Y3" i="3"/>
  <c r="X3" i="3"/>
  <c r="V3" i="3"/>
  <c r="U3" i="3"/>
  <c r="T3" i="3"/>
  <c r="M3" i="3"/>
  <c r="L3" i="3"/>
  <c r="J3" i="3"/>
  <c r="AA2" i="3"/>
  <c r="Z2" i="3"/>
  <c r="Y2" i="3"/>
  <c r="X2" i="3"/>
  <c r="V2" i="3"/>
  <c r="U2" i="3"/>
  <c r="T2" i="3"/>
  <c r="M2" i="3"/>
  <c r="L2" i="3"/>
  <c r="J2" i="3"/>
  <c r="AA122" i="2"/>
  <c r="Z122" i="2"/>
  <c r="Y122" i="2"/>
  <c r="X122" i="2"/>
  <c r="V122" i="2"/>
  <c r="U122" i="2"/>
  <c r="T122" i="2"/>
  <c r="M122" i="2"/>
  <c r="L122" i="2"/>
  <c r="J122" i="2"/>
  <c r="AA121" i="2"/>
  <c r="Z121" i="2"/>
  <c r="Y121" i="2"/>
  <c r="X121" i="2"/>
  <c r="V121" i="2"/>
  <c r="U121" i="2"/>
  <c r="T121" i="2"/>
  <c r="M121" i="2"/>
  <c r="L121" i="2"/>
  <c r="J121" i="2"/>
  <c r="AA120" i="2"/>
  <c r="Z120" i="2"/>
  <c r="Y120" i="2"/>
  <c r="X120" i="2"/>
  <c r="V120" i="2"/>
  <c r="U120" i="2"/>
  <c r="T120" i="2"/>
  <c r="M120" i="2"/>
  <c r="L120" i="2"/>
  <c r="J120" i="2"/>
  <c r="AA119" i="2"/>
  <c r="Z119" i="2"/>
  <c r="Y119" i="2"/>
  <c r="X119" i="2"/>
  <c r="V119" i="2"/>
  <c r="U119" i="2"/>
  <c r="T119" i="2"/>
  <c r="M119" i="2"/>
  <c r="L119" i="2"/>
  <c r="J119" i="2"/>
  <c r="AA118" i="2"/>
  <c r="Z118" i="2"/>
  <c r="Y118" i="2"/>
  <c r="X118" i="2"/>
  <c r="V118" i="2"/>
  <c r="U118" i="2"/>
  <c r="T118" i="2"/>
  <c r="M118" i="2"/>
  <c r="L118" i="2"/>
  <c r="J118" i="2"/>
  <c r="AA117" i="2"/>
  <c r="Z117" i="2"/>
  <c r="Y117" i="2"/>
  <c r="X117" i="2"/>
  <c r="V117" i="2"/>
  <c r="U117" i="2"/>
  <c r="T117" i="2"/>
  <c r="M117" i="2"/>
  <c r="L117" i="2"/>
  <c r="J117" i="2"/>
  <c r="AA116" i="2"/>
  <c r="Z116" i="2"/>
  <c r="Y116" i="2"/>
  <c r="X116" i="2"/>
  <c r="V116" i="2"/>
  <c r="U116" i="2"/>
  <c r="T116" i="2"/>
  <c r="M116" i="2"/>
  <c r="L116" i="2"/>
  <c r="J116" i="2"/>
  <c r="AA115" i="2"/>
  <c r="Z115" i="2"/>
  <c r="Y115" i="2"/>
  <c r="X115" i="2"/>
  <c r="V115" i="2"/>
  <c r="U115" i="2"/>
  <c r="T115" i="2"/>
  <c r="M115" i="2"/>
  <c r="L115" i="2"/>
  <c r="J115" i="2"/>
  <c r="AA114" i="2"/>
  <c r="Z114" i="2"/>
  <c r="Y114" i="2"/>
  <c r="X114" i="2"/>
  <c r="V114" i="2"/>
  <c r="U114" i="2"/>
  <c r="T114" i="2"/>
  <c r="M114" i="2"/>
  <c r="L114" i="2"/>
  <c r="J114" i="2"/>
  <c r="AA113" i="2"/>
  <c r="Z113" i="2"/>
  <c r="Y113" i="2"/>
  <c r="X113" i="2"/>
  <c r="V113" i="2"/>
  <c r="U113" i="2"/>
  <c r="T113" i="2"/>
  <c r="M113" i="2"/>
  <c r="L113" i="2"/>
  <c r="J113" i="2"/>
  <c r="AA112" i="2"/>
  <c r="Z112" i="2"/>
  <c r="Y112" i="2"/>
  <c r="X112" i="2"/>
  <c r="V112" i="2"/>
  <c r="U112" i="2"/>
  <c r="T112" i="2"/>
  <c r="M112" i="2"/>
  <c r="L112" i="2"/>
  <c r="J112" i="2"/>
  <c r="AA111" i="2"/>
  <c r="Z111" i="2"/>
  <c r="Y111" i="2"/>
  <c r="X111" i="2"/>
  <c r="V111" i="2"/>
  <c r="U111" i="2"/>
  <c r="T111" i="2"/>
  <c r="M111" i="2"/>
  <c r="L111" i="2"/>
  <c r="J111" i="2"/>
  <c r="AA110" i="2"/>
  <c r="Z110" i="2"/>
  <c r="Y110" i="2"/>
  <c r="X110" i="2"/>
  <c r="V110" i="2"/>
  <c r="U110" i="2"/>
  <c r="T110" i="2"/>
  <c r="M110" i="2"/>
  <c r="L110" i="2"/>
  <c r="J110" i="2"/>
  <c r="AA109" i="2"/>
  <c r="Z109" i="2"/>
  <c r="Y109" i="2"/>
  <c r="X109" i="2"/>
  <c r="V109" i="2"/>
  <c r="U109" i="2"/>
  <c r="T109" i="2"/>
  <c r="M109" i="2"/>
  <c r="L109" i="2"/>
  <c r="J109" i="2"/>
  <c r="AA108" i="2"/>
  <c r="Z108" i="2"/>
  <c r="Y108" i="2"/>
  <c r="X108" i="2"/>
  <c r="V108" i="2"/>
  <c r="U108" i="2"/>
  <c r="T108" i="2"/>
  <c r="M108" i="2"/>
  <c r="L108" i="2"/>
  <c r="J108" i="2"/>
  <c r="AA107" i="2"/>
  <c r="Z107" i="2"/>
  <c r="Y107" i="2"/>
  <c r="X107" i="2"/>
  <c r="V107" i="2"/>
  <c r="U107" i="2"/>
  <c r="T107" i="2"/>
  <c r="M107" i="2"/>
  <c r="L107" i="2"/>
  <c r="J107" i="2"/>
  <c r="AA106" i="2"/>
  <c r="Z106" i="2"/>
  <c r="Y106" i="2"/>
  <c r="X106" i="2"/>
  <c r="V106" i="2"/>
  <c r="U106" i="2"/>
  <c r="T106" i="2"/>
  <c r="M106" i="2"/>
  <c r="L106" i="2"/>
  <c r="J106" i="2"/>
  <c r="AA105" i="2"/>
  <c r="Z105" i="2"/>
  <c r="Y105" i="2"/>
  <c r="X105" i="2"/>
  <c r="V105" i="2"/>
  <c r="U105" i="2"/>
  <c r="T105" i="2"/>
  <c r="M105" i="2"/>
  <c r="L105" i="2"/>
  <c r="J105" i="2"/>
  <c r="AA104" i="2"/>
  <c r="Z104" i="2"/>
  <c r="Y104" i="2"/>
  <c r="X104" i="2"/>
  <c r="V104" i="2"/>
  <c r="U104" i="2"/>
  <c r="T104" i="2"/>
  <c r="M104" i="2"/>
  <c r="L104" i="2"/>
  <c r="J104" i="2"/>
  <c r="AA103" i="2"/>
  <c r="Z103" i="2"/>
  <c r="Y103" i="2"/>
  <c r="X103" i="2"/>
  <c r="V103" i="2"/>
  <c r="U103" i="2"/>
  <c r="T103" i="2"/>
  <c r="M103" i="2"/>
  <c r="L103" i="2"/>
  <c r="J103" i="2"/>
  <c r="AA102" i="2"/>
  <c r="Z102" i="2"/>
  <c r="Y102" i="2"/>
  <c r="X102" i="2"/>
  <c r="V102" i="2"/>
  <c r="U102" i="2"/>
  <c r="T102" i="2"/>
  <c r="M102" i="2"/>
  <c r="L102" i="2"/>
  <c r="J102" i="2"/>
  <c r="AA101" i="2"/>
  <c r="Z101" i="2"/>
  <c r="Y101" i="2"/>
  <c r="X101" i="2"/>
  <c r="V101" i="2"/>
  <c r="U101" i="2"/>
  <c r="T101" i="2"/>
  <c r="M101" i="2"/>
  <c r="L101" i="2"/>
  <c r="J101" i="2"/>
  <c r="AA100" i="2"/>
  <c r="Z100" i="2"/>
  <c r="Y100" i="2"/>
  <c r="X100" i="2"/>
  <c r="V100" i="2"/>
  <c r="U100" i="2"/>
  <c r="T100" i="2"/>
  <c r="M100" i="2"/>
  <c r="L100" i="2"/>
  <c r="J100" i="2"/>
  <c r="AA99" i="2"/>
  <c r="Z99" i="2"/>
  <c r="Y99" i="2"/>
  <c r="X99" i="2"/>
  <c r="V99" i="2"/>
  <c r="U99" i="2"/>
  <c r="T99" i="2"/>
  <c r="M99" i="2"/>
  <c r="L99" i="2"/>
  <c r="J99" i="2"/>
  <c r="AA98" i="2"/>
  <c r="Z98" i="2"/>
  <c r="Y98" i="2"/>
  <c r="X98" i="2"/>
  <c r="V98" i="2"/>
  <c r="U98" i="2"/>
  <c r="T98" i="2"/>
  <c r="M98" i="2"/>
  <c r="L98" i="2"/>
  <c r="J98" i="2"/>
  <c r="AA97" i="2"/>
  <c r="Z97" i="2"/>
  <c r="Y97" i="2"/>
  <c r="X97" i="2"/>
  <c r="V97" i="2"/>
  <c r="U97" i="2"/>
  <c r="T97" i="2"/>
  <c r="M97" i="2"/>
  <c r="L97" i="2"/>
  <c r="J97" i="2"/>
  <c r="AA96" i="2"/>
  <c r="Z96" i="2"/>
  <c r="Y96" i="2"/>
  <c r="X96" i="2"/>
  <c r="V96" i="2"/>
  <c r="U96" i="2"/>
  <c r="T96" i="2"/>
  <c r="M96" i="2"/>
  <c r="L96" i="2"/>
  <c r="J96" i="2"/>
  <c r="AA95" i="2"/>
  <c r="Z95" i="2"/>
  <c r="Y95" i="2"/>
  <c r="X95" i="2"/>
  <c r="V95" i="2"/>
  <c r="U95" i="2"/>
  <c r="T95" i="2"/>
  <c r="M95" i="2"/>
  <c r="L95" i="2"/>
  <c r="J95" i="2"/>
  <c r="AA94" i="2"/>
  <c r="Z94" i="2"/>
  <c r="Y94" i="2"/>
  <c r="X94" i="2"/>
  <c r="V94" i="2"/>
  <c r="U94" i="2"/>
  <c r="T94" i="2"/>
  <c r="M94" i="2"/>
  <c r="L94" i="2"/>
  <c r="J94" i="2"/>
  <c r="AA93" i="2"/>
  <c r="Z93" i="2"/>
  <c r="Y93" i="2"/>
  <c r="X93" i="2"/>
  <c r="V93" i="2"/>
  <c r="U93" i="2"/>
  <c r="T93" i="2"/>
  <c r="M93" i="2"/>
  <c r="L93" i="2"/>
  <c r="J93" i="2"/>
  <c r="AA92" i="2"/>
  <c r="Z92" i="2"/>
  <c r="Y92" i="2"/>
  <c r="X92" i="2"/>
  <c r="V92" i="2"/>
  <c r="U92" i="2"/>
  <c r="T92" i="2"/>
  <c r="M92" i="2"/>
  <c r="L92" i="2"/>
  <c r="J92" i="2"/>
  <c r="AA91" i="2"/>
  <c r="Z91" i="2"/>
  <c r="Y91" i="2"/>
  <c r="X91" i="2"/>
  <c r="V91" i="2"/>
  <c r="U91" i="2"/>
  <c r="T91" i="2"/>
  <c r="M91" i="2"/>
  <c r="L91" i="2"/>
  <c r="J91" i="2"/>
  <c r="AA90" i="2"/>
  <c r="Z90" i="2"/>
  <c r="Y90" i="2"/>
  <c r="X90" i="2"/>
  <c r="V90" i="2"/>
  <c r="U90" i="2"/>
  <c r="T90" i="2"/>
  <c r="M90" i="2"/>
  <c r="L90" i="2"/>
  <c r="J90" i="2"/>
  <c r="AA89" i="2"/>
  <c r="Z89" i="2"/>
  <c r="Y89" i="2"/>
  <c r="X89" i="2"/>
  <c r="V89" i="2"/>
  <c r="U89" i="2"/>
  <c r="T89" i="2"/>
  <c r="M89" i="2"/>
  <c r="L89" i="2"/>
  <c r="J89" i="2"/>
  <c r="AA88" i="2"/>
  <c r="Z88" i="2"/>
  <c r="Y88" i="2"/>
  <c r="X88" i="2"/>
  <c r="V88" i="2"/>
  <c r="U88" i="2"/>
  <c r="T88" i="2"/>
  <c r="M88" i="2"/>
  <c r="L88" i="2"/>
  <c r="J88" i="2"/>
  <c r="AA87" i="2"/>
  <c r="Z87" i="2"/>
  <c r="Y87" i="2"/>
  <c r="X87" i="2"/>
  <c r="V87" i="2"/>
  <c r="U87" i="2"/>
  <c r="T87" i="2"/>
  <c r="M87" i="2"/>
  <c r="L87" i="2"/>
  <c r="J87" i="2"/>
  <c r="AA86" i="2"/>
  <c r="Z86" i="2"/>
  <c r="Y86" i="2"/>
  <c r="X86" i="2"/>
  <c r="V86" i="2"/>
  <c r="U86" i="2"/>
  <c r="T86" i="2"/>
  <c r="M86" i="2"/>
  <c r="L86" i="2"/>
  <c r="J86" i="2"/>
  <c r="AA85" i="2"/>
  <c r="Z85" i="2"/>
  <c r="Y85" i="2"/>
  <c r="X85" i="2"/>
  <c r="V85" i="2"/>
  <c r="U85" i="2"/>
  <c r="T85" i="2"/>
  <c r="M85" i="2"/>
  <c r="L85" i="2"/>
  <c r="J85" i="2"/>
  <c r="AA84" i="2"/>
  <c r="Z84" i="2"/>
  <c r="Y84" i="2"/>
  <c r="X84" i="2"/>
  <c r="V84" i="2"/>
  <c r="U84" i="2"/>
  <c r="T84" i="2"/>
  <c r="M84" i="2"/>
  <c r="L84" i="2"/>
  <c r="J84" i="2"/>
  <c r="AA83" i="2"/>
  <c r="Z83" i="2"/>
  <c r="Y83" i="2"/>
  <c r="X83" i="2"/>
  <c r="V83" i="2"/>
  <c r="U83" i="2"/>
  <c r="T83" i="2"/>
  <c r="M83" i="2"/>
  <c r="L83" i="2"/>
  <c r="J83" i="2"/>
  <c r="AA82" i="2"/>
  <c r="Z82" i="2"/>
  <c r="Y82" i="2"/>
  <c r="X82" i="2"/>
  <c r="V82" i="2"/>
  <c r="U82" i="2"/>
  <c r="T82" i="2"/>
  <c r="M82" i="2"/>
  <c r="L82" i="2"/>
  <c r="J82" i="2"/>
  <c r="AA81" i="2"/>
  <c r="Z81" i="2"/>
  <c r="Y81" i="2"/>
  <c r="X81" i="2"/>
  <c r="V81" i="2"/>
  <c r="U81" i="2"/>
  <c r="T81" i="2"/>
  <c r="M81" i="2"/>
  <c r="L81" i="2"/>
  <c r="J81" i="2"/>
  <c r="AA80" i="2"/>
  <c r="Z80" i="2"/>
  <c r="Y80" i="2"/>
  <c r="X80" i="2"/>
  <c r="V80" i="2"/>
  <c r="U80" i="2"/>
  <c r="T80" i="2"/>
  <c r="M80" i="2"/>
  <c r="L80" i="2"/>
  <c r="J80" i="2"/>
  <c r="AA79" i="2"/>
  <c r="Z79" i="2"/>
  <c r="Y79" i="2"/>
  <c r="X79" i="2"/>
  <c r="V79" i="2"/>
  <c r="U79" i="2"/>
  <c r="T79" i="2"/>
  <c r="M79" i="2"/>
  <c r="L79" i="2"/>
  <c r="J79" i="2"/>
  <c r="AA78" i="2"/>
  <c r="Z78" i="2"/>
  <c r="Y78" i="2"/>
  <c r="X78" i="2"/>
  <c r="V78" i="2"/>
  <c r="U78" i="2"/>
  <c r="T78" i="2"/>
  <c r="M78" i="2"/>
  <c r="L78" i="2"/>
  <c r="J78" i="2"/>
  <c r="AA77" i="2"/>
  <c r="Z77" i="2"/>
  <c r="Y77" i="2"/>
  <c r="X77" i="2"/>
  <c r="V77" i="2"/>
  <c r="U77" i="2"/>
  <c r="T77" i="2"/>
  <c r="M77" i="2"/>
  <c r="L77" i="2"/>
  <c r="J77" i="2"/>
  <c r="AA76" i="2"/>
  <c r="Z76" i="2"/>
  <c r="Y76" i="2"/>
  <c r="X76" i="2"/>
  <c r="V76" i="2"/>
  <c r="U76" i="2"/>
  <c r="T76" i="2"/>
  <c r="M76" i="2"/>
  <c r="L76" i="2"/>
  <c r="J76" i="2"/>
  <c r="AA75" i="2"/>
  <c r="Z75" i="2"/>
  <c r="Y75" i="2"/>
  <c r="X75" i="2"/>
  <c r="V75" i="2"/>
  <c r="U75" i="2"/>
  <c r="T75" i="2"/>
  <c r="M75" i="2"/>
  <c r="L75" i="2"/>
  <c r="J75" i="2"/>
  <c r="AA74" i="2"/>
  <c r="Z74" i="2"/>
  <c r="Y74" i="2"/>
  <c r="X74" i="2"/>
  <c r="V74" i="2"/>
  <c r="U74" i="2"/>
  <c r="T74" i="2"/>
  <c r="M74" i="2"/>
  <c r="L74" i="2"/>
  <c r="J74" i="2"/>
  <c r="AA73" i="2"/>
  <c r="Z73" i="2"/>
  <c r="Y73" i="2"/>
  <c r="X73" i="2"/>
  <c r="V73" i="2"/>
  <c r="U73" i="2"/>
  <c r="T73" i="2"/>
  <c r="M73" i="2"/>
  <c r="L73" i="2"/>
  <c r="J73" i="2"/>
  <c r="AA72" i="2"/>
  <c r="Z72" i="2"/>
  <c r="Y72" i="2"/>
  <c r="X72" i="2"/>
  <c r="V72" i="2"/>
  <c r="U72" i="2"/>
  <c r="T72" i="2"/>
  <c r="M72" i="2"/>
  <c r="L72" i="2"/>
  <c r="J72" i="2"/>
  <c r="AA71" i="2"/>
  <c r="Z71" i="2"/>
  <c r="Y71" i="2"/>
  <c r="X71" i="2"/>
  <c r="V71" i="2"/>
  <c r="U71" i="2"/>
  <c r="T71" i="2"/>
  <c r="M71" i="2"/>
  <c r="L71" i="2"/>
  <c r="J71" i="2"/>
  <c r="AA70" i="2"/>
  <c r="Z70" i="2"/>
  <c r="Y70" i="2"/>
  <c r="X70" i="2"/>
  <c r="V70" i="2"/>
  <c r="U70" i="2"/>
  <c r="T70" i="2"/>
  <c r="M70" i="2"/>
  <c r="L70" i="2"/>
  <c r="J70" i="2"/>
  <c r="AA69" i="2"/>
  <c r="Z69" i="2"/>
  <c r="Y69" i="2"/>
  <c r="X69" i="2"/>
  <c r="V69" i="2"/>
  <c r="U69" i="2"/>
  <c r="T69" i="2"/>
  <c r="M69" i="2"/>
  <c r="L69" i="2"/>
  <c r="J69" i="2"/>
  <c r="AA68" i="2"/>
  <c r="Z68" i="2"/>
  <c r="Y68" i="2"/>
  <c r="X68" i="2"/>
  <c r="V68" i="2"/>
  <c r="U68" i="2"/>
  <c r="T68" i="2"/>
  <c r="M68" i="2"/>
  <c r="L68" i="2"/>
  <c r="J68" i="2"/>
  <c r="AA67" i="2"/>
  <c r="Z67" i="2"/>
  <c r="Y67" i="2"/>
  <c r="X67" i="2"/>
  <c r="V67" i="2"/>
  <c r="U67" i="2"/>
  <c r="T67" i="2"/>
  <c r="M67" i="2"/>
  <c r="L67" i="2"/>
  <c r="J67" i="2"/>
  <c r="AA66" i="2"/>
  <c r="Z66" i="2"/>
  <c r="Y66" i="2"/>
  <c r="X66" i="2"/>
  <c r="V66" i="2"/>
  <c r="U66" i="2"/>
  <c r="T66" i="2"/>
  <c r="M66" i="2"/>
  <c r="L66" i="2"/>
  <c r="J66" i="2"/>
  <c r="AA65" i="2"/>
  <c r="Z65" i="2"/>
  <c r="Y65" i="2"/>
  <c r="X65" i="2"/>
  <c r="V65" i="2"/>
  <c r="U65" i="2"/>
  <c r="T65" i="2"/>
  <c r="M65" i="2"/>
  <c r="L65" i="2"/>
  <c r="J65" i="2"/>
  <c r="AA64" i="2"/>
  <c r="Z64" i="2"/>
  <c r="Y64" i="2"/>
  <c r="X64" i="2"/>
  <c r="V64" i="2"/>
  <c r="U64" i="2"/>
  <c r="T64" i="2"/>
  <c r="M64" i="2"/>
  <c r="L64" i="2"/>
  <c r="J64" i="2"/>
  <c r="AA63" i="2"/>
  <c r="Z63" i="2"/>
  <c r="Y63" i="2"/>
  <c r="X63" i="2"/>
  <c r="V63" i="2"/>
  <c r="U63" i="2"/>
  <c r="T63" i="2"/>
  <c r="M63" i="2"/>
  <c r="L63" i="2"/>
  <c r="J63" i="2"/>
  <c r="AA62" i="2"/>
  <c r="Z62" i="2"/>
  <c r="Y62" i="2"/>
  <c r="X62" i="2"/>
  <c r="V62" i="2"/>
  <c r="U62" i="2"/>
  <c r="T62" i="2"/>
  <c r="M62" i="2"/>
  <c r="L62" i="2"/>
  <c r="J62" i="2"/>
  <c r="AA61" i="2"/>
  <c r="Z61" i="2"/>
  <c r="Y61" i="2"/>
  <c r="X61" i="2"/>
  <c r="V61" i="2"/>
  <c r="U61" i="2"/>
  <c r="T61" i="2"/>
  <c r="M61" i="2"/>
  <c r="L61" i="2"/>
  <c r="J61" i="2"/>
  <c r="AA60" i="2"/>
  <c r="Z60" i="2"/>
  <c r="Y60" i="2"/>
  <c r="X60" i="2"/>
  <c r="V60" i="2"/>
  <c r="U60" i="2"/>
  <c r="T60" i="2"/>
  <c r="M60" i="2"/>
  <c r="L60" i="2"/>
  <c r="J60" i="2"/>
  <c r="AA59" i="2"/>
  <c r="Z59" i="2"/>
  <c r="Y59" i="2"/>
  <c r="X59" i="2"/>
  <c r="V59" i="2"/>
  <c r="U59" i="2"/>
  <c r="T59" i="2"/>
  <c r="M59" i="2"/>
  <c r="L59" i="2"/>
  <c r="J59" i="2"/>
  <c r="AA58" i="2"/>
  <c r="Z58" i="2"/>
  <c r="Y58" i="2"/>
  <c r="X58" i="2"/>
  <c r="V58" i="2"/>
  <c r="U58" i="2"/>
  <c r="T58" i="2"/>
  <c r="M58" i="2"/>
  <c r="L58" i="2"/>
  <c r="J58" i="2"/>
  <c r="AA57" i="2"/>
  <c r="Z57" i="2"/>
  <c r="Y57" i="2"/>
  <c r="X57" i="2"/>
  <c r="V57" i="2"/>
  <c r="U57" i="2"/>
  <c r="T57" i="2"/>
  <c r="M57" i="2"/>
  <c r="L57" i="2"/>
  <c r="J57" i="2"/>
  <c r="AA56" i="2"/>
  <c r="Z56" i="2"/>
  <c r="Y56" i="2"/>
  <c r="X56" i="2"/>
  <c r="V56" i="2"/>
  <c r="U56" i="2"/>
  <c r="T56" i="2"/>
  <c r="M56" i="2"/>
  <c r="L56" i="2"/>
  <c r="J56" i="2"/>
  <c r="AA55" i="2"/>
  <c r="Z55" i="2"/>
  <c r="Y55" i="2"/>
  <c r="X55" i="2"/>
  <c r="V55" i="2"/>
  <c r="U55" i="2"/>
  <c r="T55" i="2"/>
  <c r="M55" i="2"/>
  <c r="L55" i="2"/>
  <c r="J55" i="2"/>
  <c r="AA54" i="2"/>
  <c r="Z54" i="2"/>
  <c r="Y54" i="2"/>
  <c r="X54" i="2"/>
  <c r="V54" i="2"/>
  <c r="U54" i="2"/>
  <c r="T54" i="2"/>
  <c r="M54" i="2"/>
  <c r="L54" i="2"/>
  <c r="J54" i="2"/>
  <c r="AA53" i="2"/>
  <c r="Z53" i="2"/>
  <c r="Y53" i="2"/>
  <c r="X53" i="2"/>
  <c r="V53" i="2"/>
  <c r="U53" i="2"/>
  <c r="T53" i="2"/>
  <c r="M53" i="2"/>
  <c r="L53" i="2"/>
  <c r="J53" i="2"/>
  <c r="AA52" i="2"/>
  <c r="Z52" i="2"/>
  <c r="Y52" i="2"/>
  <c r="X52" i="2"/>
  <c r="V52" i="2"/>
  <c r="U52" i="2"/>
  <c r="T52" i="2"/>
  <c r="M52" i="2"/>
  <c r="L52" i="2"/>
  <c r="J52" i="2"/>
  <c r="AA51" i="2"/>
  <c r="Z51" i="2"/>
  <c r="Y51" i="2"/>
  <c r="X51" i="2"/>
  <c r="V51" i="2"/>
  <c r="U51" i="2"/>
  <c r="T51" i="2"/>
  <c r="M51" i="2"/>
  <c r="L51" i="2"/>
  <c r="J51" i="2"/>
  <c r="AA50" i="2"/>
  <c r="Z50" i="2"/>
  <c r="Y50" i="2"/>
  <c r="X50" i="2"/>
  <c r="V50" i="2"/>
  <c r="U50" i="2"/>
  <c r="T50" i="2"/>
  <c r="M50" i="2"/>
  <c r="L50" i="2"/>
  <c r="J50" i="2"/>
  <c r="AA49" i="2"/>
  <c r="Z49" i="2"/>
  <c r="Y49" i="2"/>
  <c r="X49" i="2"/>
  <c r="V49" i="2"/>
  <c r="U49" i="2"/>
  <c r="T49" i="2"/>
  <c r="M49" i="2"/>
  <c r="L49" i="2"/>
  <c r="J49" i="2"/>
  <c r="AA48" i="2"/>
  <c r="Z48" i="2"/>
  <c r="Y48" i="2"/>
  <c r="X48" i="2"/>
  <c r="V48" i="2"/>
  <c r="U48" i="2"/>
  <c r="T48" i="2"/>
  <c r="M48" i="2"/>
  <c r="L48" i="2"/>
  <c r="J48" i="2"/>
  <c r="AA47" i="2"/>
  <c r="Z47" i="2"/>
  <c r="Y47" i="2"/>
  <c r="X47" i="2"/>
  <c r="V47" i="2"/>
  <c r="U47" i="2"/>
  <c r="T47" i="2"/>
  <c r="M47" i="2"/>
  <c r="L47" i="2"/>
  <c r="J47" i="2"/>
  <c r="AA46" i="2"/>
  <c r="Z46" i="2"/>
  <c r="Y46" i="2"/>
  <c r="X46" i="2"/>
  <c r="V46" i="2"/>
  <c r="U46" i="2"/>
  <c r="T46" i="2"/>
  <c r="M46" i="2"/>
  <c r="L46" i="2"/>
  <c r="J46" i="2"/>
  <c r="AA45" i="2"/>
  <c r="Z45" i="2"/>
  <c r="Y45" i="2"/>
  <c r="X45" i="2"/>
  <c r="V45" i="2"/>
  <c r="U45" i="2"/>
  <c r="T45" i="2"/>
  <c r="M45" i="2"/>
  <c r="L45" i="2"/>
  <c r="J45" i="2"/>
  <c r="AA44" i="2"/>
  <c r="Z44" i="2"/>
  <c r="Y44" i="2"/>
  <c r="X44" i="2"/>
  <c r="V44" i="2"/>
  <c r="U44" i="2"/>
  <c r="T44" i="2"/>
  <c r="M44" i="2"/>
  <c r="L44" i="2"/>
  <c r="J44" i="2"/>
  <c r="AA43" i="2"/>
  <c r="Z43" i="2"/>
  <c r="Y43" i="2"/>
  <c r="X43" i="2"/>
  <c r="V43" i="2"/>
  <c r="U43" i="2"/>
  <c r="T43" i="2"/>
  <c r="M43" i="2"/>
  <c r="L43" i="2"/>
  <c r="J43" i="2"/>
  <c r="AA42" i="2"/>
  <c r="Z42" i="2"/>
  <c r="Y42" i="2"/>
  <c r="X42" i="2"/>
  <c r="V42" i="2"/>
  <c r="U42" i="2"/>
  <c r="T42" i="2"/>
  <c r="M42" i="2"/>
  <c r="L42" i="2"/>
  <c r="J42" i="2"/>
  <c r="AA41" i="2"/>
  <c r="Z41" i="2"/>
  <c r="Y41" i="2"/>
  <c r="X41" i="2"/>
  <c r="V41" i="2"/>
  <c r="U41" i="2"/>
  <c r="T41" i="2"/>
  <c r="M41" i="2"/>
  <c r="L41" i="2"/>
  <c r="J41" i="2"/>
  <c r="AA40" i="2"/>
  <c r="Z40" i="2"/>
  <c r="Y40" i="2"/>
  <c r="X40" i="2"/>
  <c r="V40" i="2"/>
  <c r="U40" i="2"/>
  <c r="T40" i="2"/>
  <c r="M40" i="2"/>
  <c r="L40" i="2"/>
  <c r="J40" i="2"/>
  <c r="AA39" i="2"/>
  <c r="Z39" i="2"/>
  <c r="Y39" i="2"/>
  <c r="X39" i="2"/>
  <c r="V39" i="2"/>
  <c r="U39" i="2"/>
  <c r="T39" i="2"/>
  <c r="M39" i="2"/>
  <c r="L39" i="2"/>
  <c r="J39" i="2"/>
  <c r="AA38" i="2"/>
  <c r="Z38" i="2"/>
  <c r="Y38" i="2"/>
  <c r="X38" i="2"/>
  <c r="V38" i="2"/>
  <c r="U38" i="2"/>
  <c r="T38" i="2"/>
  <c r="M38" i="2"/>
  <c r="L38" i="2"/>
  <c r="J38" i="2"/>
  <c r="AA37" i="2"/>
  <c r="Z37" i="2"/>
  <c r="Y37" i="2"/>
  <c r="X37" i="2"/>
  <c r="V37" i="2"/>
  <c r="U37" i="2"/>
  <c r="T37" i="2"/>
  <c r="M37" i="2"/>
  <c r="L37" i="2"/>
  <c r="J37" i="2"/>
  <c r="AA36" i="2"/>
  <c r="Z36" i="2"/>
  <c r="Y36" i="2"/>
  <c r="X36" i="2"/>
  <c r="V36" i="2"/>
  <c r="U36" i="2"/>
  <c r="T36" i="2"/>
  <c r="M36" i="2"/>
  <c r="L36" i="2"/>
  <c r="J36" i="2"/>
  <c r="AA35" i="2"/>
  <c r="Z35" i="2"/>
  <c r="Y35" i="2"/>
  <c r="X35" i="2"/>
  <c r="V35" i="2"/>
  <c r="U35" i="2"/>
  <c r="T35" i="2"/>
  <c r="M35" i="2"/>
  <c r="L35" i="2"/>
  <c r="J35" i="2"/>
  <c r="AA34" i="2"/>
  <c r="Z34" i="2"/>
  <c r="Y34" i="2"/>
  <c r="X34" i="2"/>
  <c r="V34" i="2"/>
  <c r="U34" i="2"/>
  <c r="T34" i="2"/>
  <c r="M34" i="2"/>
  <c r="L34" i="2"/>
  <c r="J34" i="2"/>
  <c r="AA33" i="2"/>
  <c r="Z33" i="2"/>
  <c r="Y33" i="2"/>
  <c r="X33" i="2"/>
  <c r="V33" i="2"/>
  <c r="U33" i="2"/>
  <c r="T33" i="2"/>
  <c r="M33" i="2"/>
  <c r="L33" i="2"/>
  <c r="J33" i="2"/>
  <c r="AA32" i="2"/>
  <c r="Z32" i="2"/>
  <c r="Y32" i="2"/>
  <c r="X32" i="2"/>
  <c r="V32" i="2"/>
  <c r="U32" i="2"/>
  <c r="T32" i="2"/>
  <c r="M32" i="2"/>
  <c r="L32" i="2"/>
  <c r="J32" i="2"/>
  <c r="AA31" i="2"/>
  <c r="Z31" i="2"/>
  <c r="Y31" i="2"/>
  <c r="X31" i="2"/>
  <c r="V31" i="2"/>
  <c r="U31" i="2"/>
  <c r="T31" i="2"/>
  <c r="M31" i="2"/>
  <c r="L31" i="2"/>
  <c r="J31" i="2"/>
  <c r="AA30" i="2"/>
  <c r="Z30" i="2"/>
  <c r="Y30" i="2"/>
  <c r="X30" i="2"/>
  <c r="V30" i="2"/>
  <c r="U30" i="2"/>
  <c r="T30" i="2"/>
  <c r="M30" i="2"/>
  <c r="L30" i="2"/>
  <c r="J30" i="2"/>
  <c r="AA29" i="2"/>
  <c r="Z29" i="2"/>
  <c r="Y29" i="2"/>
  <c r="X29" i="2"/>
  <c r="V29" i="2"/>
  <c r="U29" i="2"/>
  <c r="T29" i="2"/>
  <c r="M29" i="2"/>
  <c r="L29" i="2"/>
  <c r="J29" i="2"/>
  <c r="AA28" i="2"/>
  <c r="Z28" i="2"/>
  <c r="Y28" i="2"/>
  <c r="X28" i="2"/>
  <c r="V28" i="2"/>
  <c r="U28" i="2"/>
  <c r="T28" i="2"/>
  <c r="M28" i="2"/>
  <c r="L28" i="2"/>
  <c r="J28" i="2"/>
  <c r="AA27" i="2"/>
  <c r="Z27" i="2"/>
  <c r="Y27" i="2"/>
  <c r="X27" i="2"/>
  <c r="V27" i="2"/>
  <c r="U27" i="2"/>
  <c r="T27" i="2"/>
  <c r="M27" i="2"/>
  <c r="L27" i="2"/>
  <c r="J27" i="2"/>
  <c r="AA26" i="2"/>
  <c r="Z26" i="2"/>
  <c r="Y26" i="2"/>
  <c r="X26" i="2"/>
  <c r="V26" i="2"/>
  <c r="U26" i="2"/>
  <c r="T26" i="2"/>
  <c r="M26" i="2"/>
  <c r="L26" i="2"/>
  <c r="J26" i="2"/>
  <c r="AA25" i="2"/>
  <c r="Z25" i="2"/>
  <c r="Y25" i="2"/>
  <c r="X25" i="2"/>
  <c r="V25" i="2"/>
  <c r="U25" i="2"/>
  <c r="T25" i="2"/>
  <c r="M25" i="2"/>
  <c r="L25" i="2"/>
  <c r="J25" i="2"/>
  <c r="AA24" i="2"/>
  <c r="Z24" i="2"/>
  <c r="Y24" i="2"/>
  <c r="X24" i="2"/>
  <c r="V24" i="2"/>
  <c r="U24" i="2"/>
  <c r="T24" i="2"/>
  <c r="M24" i="2"/>
  <c r="L24" i="2"/>
  <c r="J24" i="2"/>
  <c r="AA23" i="2"/>
  <c r="Z23" i="2"/>
  <c r="Y23" i="2"/>
  <c r="X23" i="2"/>
  <c r="V23" i="2"/>
  <c r="U23" i="2"/>
  <c r="T23" i="2"/>
  <c r="M23" i="2"/>
  <c r="L23" i="2"/>
  <c r="J23" i="2"/>
  <c r="AA22" i="2"/>
  <c r="Z22" i="2"/>
  <c r="Y22" i="2"/>
  <c r="X22" i="2"/>
  <c r="V22" i="2"/>
  <c r="U22" i="2"/>
  <c r="T22" i="2"/>
  <c r="M22" i="2"/>
  <c r="L22" i="2"/>
  <c r="J22" i="2"/>
  <c r="AA21" i="2"/>
  <c r="Z21" i="2"/>
  <c r="Y21" i="2"/>
  <c r="X21" i="2"/>
  <c r="V21" i="2"/>
  <c r="U21" i="2"/>
  <c r="T21" i="2"/>
  <c r="M21" i="2"/>
  <c r="L21" i="2"/>
  <c r="J21" i="2"/>
  <c r="AA20" i="2"/>
  <c r="Z20" i="2"/>
  <c r="Y20" i="2"/>
  <c r="X20" i="2"/>
  <c r="V20" i="2"/>
  <c r="U20" i="2"/>
  <c r="T20" i="2"/>
  <c r="M20" i="2"/>
  <c r="L20" i="2"/>
  <c r="J20" i="2"/>
  <c r="AA19" i="2"/>
  <c r="Z19" i="2"/>
  <c r="Y19" i="2"/>
  <c r="X19" i="2"/>
  <c r="V19" i="2"/>
  <c r="U19" i="2"/>
  <c r="T19" i="2"/>
  <c r="M19" i="2"/>
  <c r="L19" i="2"/>
  <c r="J19" i="2"/>
  <c r="AA18" i="2"/>
  <c r="Z18" i="2"/>
  <c r="Y18" i="2"/>
  <c r="X18" i="2"/>
  <c r="V18" i="2"/>
  <c r="U18" i="2"/>
  <c r="T18" i="2"/>
  <c r="M18" i="2"/>
  <c r="L18" i="2"/>
  <c r="J18" i="2"/>
  <c r="AA17" i="2"/>
  <c r="Z17" i="2"/>
  <c r="Y17" i="2"/>
  <c r="X17" i="2"/>
  <c r="V17" i="2"/>
  <c r="U17" i="2"/>
  <c r="T17" i="2"/>
  <c r="M17" i="2"/>
  <c r="L17" i="2"/>
  <c r="J17" i="2"/>
  <c r="AA16" i="2"/>
  <c r="Z16" i="2"/>
  <c r="Y16" i="2"/>
  <c r="X16" i="2"/>
  <c r="V16" i="2"/>
  <c r="U16" i="2"/>
  <c r="T16" i="2"/>
  <c r="M16" i="2"/>
  <c r="L16" i="2"/>
  <c r="J16" i="2"/>
  <c r="AA15" i="2"/>
  <c r="Z15" i="2"/>
  <c r="Y15" i="2"/>
  <c r="X15" i="2"/>
  <c r="V15" i="2"/>
  <c r="U15" i="2"/>
  <c r="T15" i="2"/>
  <c r="M15" i="2"/>
  <c r="L15" i="2"/>
  <c r="J15" i="2"/>
  <c r="AA14" i="2"/>
  <c r="Z14" i="2"/>
  <c r="Y14" i="2"/>
  <c r="X14" i="2"/>
  <c r="V14" i="2"/>
  <c r="U14" i="2"/>
  <c r="T14" i="2"/>
  <c r="M14" i="2"/>
  <c r="L14" i="2"/>
  <c r="J14" i="2"/>
  <c r="AA13" i="2"/>
  <c r="Z13" i="2"/>
  <c r="Y13" i="2"/>
  <c r="X13" i="2"/>
  <c r="V13" i="2"/>
  <c r="U13" i="2"/>
  <c r="T13" i="2"/>
  <c r="M13" i="2"/>
  <c r="L13" i="2"/>
  <c r="J13" i="2"/>
  <c r="AA12" i="2"/>
  <c r="Z12" i="2"/>
  <c r="Y12" i="2"/>
  <c r="X12" i="2"/>
  <c r="V12" i="2"/>
  <c r="U12" i="2"/>
  <c r="T12" i="2"/>
  <c r="M12" i="2"/>
  <c r="L12" i="2"/>
  <c r="J12" i="2"/>
  <c r="AA11" i="2"/>
  <c r="Z11" i="2"/>
  <c r="Y11" i="2"/>
  <c r="X11" i="2"/>
  <c r="V11" i="2"/>
  <c r="U11" i="2"/>
  <c r="T11" i="2"/>
  <c r="M11" i="2"/>
  <c r="L11" i="2"/>
  <c r="J11" i="2"/>
  <c r="AA10" i="2"/>
  <c r="Z10" i="2"/>
  <c r="Y10" i="2"/>
  <c r="X10" i="2"/>
  <c r="V10" i="2"/>
  <c r="U10" i="2"/>
  <c r="T10" i="2"/>
  <c r="M10" i="2"/>
  <c r="L10" i="2"/>
  <c r="J10" i="2"/>
  <c r="AA9" i="2"/>
  <c r="Z9" i="2"/>
  <c r="Y9" i="2"/>
  <c r="X9" i="2"/>
  <c r="V9" i="2"/>
  <c r="U9" i="2"/>
  <c r="T9" i="2"/>
  <c r="M9" i="2"/>
  <c r="L9" i="2"/>
  <c r="J9" i="2"/>
  <c r="AA8" i="2"/>
  <c r="Z8" i="2"/>
  <c r="Y8" i="2"/>
  <c r="X8" i="2"/>
  <c r="V8" i="2"/>
  <c r="U8" i="2"/>
  <c r="T8" i="2"/>
  <c r="M8" i="2"/>
  <c r="L8" i="2"/>
  <c r="J8" i="2"/>
  <c r="AA7" i="2"/>
  <c r="Z7" i="2"/>
  <c r="Y7" i="2"/>
  <c r="X7" i="2"/>
  <c r="V7" i="2"/>
  <c r="U7" i="2"/>
  <c r="T7" i="2"/>
  <c r="M7" i="2"/>
  <c r="L7" i="2"/>
  <c r="J7" i="2"/>
  <c r="AA6" i="2"/>
  <c r="Z6" i="2"/>
  <c r="Y6" i="2"/>
  <c r="X6" i="2"/>
  <c r="V6" i="2"/>
  <c r="U6" i="2"/>
  <c r="T6" i="2"/>
  <c r="M6" i="2"/>
  <c r="L6" i="2"/>
  <c r="J6" i="2"/>
  <c r="AA5" i="2"/>
  <c r="Z5" i="2"/>
  <c r="Y5" i="2"/>
  <c r="X5" i="2"/>
  <c r="V5" i="2"/>
  <c r="U5" i="2"/>
  <c r="T5" i="2"/>
  <c r="M5" i="2"/>
  <c r="L5" i="2"/>
  <c r="J5" i="2"/>
  <c r="AA4" i="2"/>
  <c r="Z4" i="2"/>
  <c r="Y4" i="2"/>
  <c r="X4" i="2"/>
  <c r="V4" i="2"/>
  <c r="U4" i="2"/>
  <c r="T4" i="2"/>
  <c r="M4" i="2"/>
  <c r="L4" i="2"/>
  <c r="J4" i="2"/>
  <c r="AA3" i="2"/>
  <c r="Z3" i="2"/>
  <c r="Y3" i="2"/>
  <c r="X3" i="2"/>
  <c r="V3" i="2"/>
  <c r="U3" i="2"/>
  <c r="T3" i="2"/>
  <c r="M3" i="2"/>
  <c r="L3" i="2"/>
  <c r="J3" i="2"/>
  <c r="AA2" i="2"/>
  <c r="Z2" i="2"/>
  <c r="Y2" i="2"/>
  <c r="X2" i="2"/>
  <c r="V2" i="2"/>
  <c r="U2" i="2"/>
  <c r="T2" i="2"/>
  <c r="M2" i="2"/>
  <c r="L2" i="2"/>
  <c r="J2" i="2"/>
  <c r="AA90" i="1" l="1"/>
  <c r="Z90" i="1"/>
  <c r="Y90" i="1"/>
  <c r="X90" i="1"/>
  <c r="V90" i="1"/>
  <c r="U90" i="1"/>
  <c r="T90" i="1"/>
  <c r="M90" i="1"/>
  <c r="L90" i="1"/>
  <c r="J90" i="1"/>
  <c r="AA89" i="1"/>
  <c r="Z89" i="1"/>
  <c r="Y89" i="1"/>
  <c r="X89" i="1"/>
  <c r="V89" i="1"/>
  <c r="U89" i="1"/>
  <c r="T89" i="1"/>
  <c r="M89" i="1"/>
  <c r="L89" i="1"/>
  <c r="J89" i="1"/>
  <c r="AA88" i="1"/>
  <c r="Z88" i="1"/>
  <c r="Y88" i="1"/>
  <c r="X88" i="1"/>
  <c r="V88" i="1"/>
  <c r="U88" i="1"/>
  <c r="T88" i="1"/>
  <c r="M88" i="1"/>
  <c r="L88" i="1"/>
  <c r="J88" i="1"/>
  <c r="AA87" i="1"/>
  <c r="Z87" i="1"/>
  <c r="Y87" i="1"/>
  <c r="X87" i="1"/>
  <c r="V87" i="1"/>
  <c r="U87" i="1"/>
  <c r="T87" i="1"/>
  <c r="M87" i="1"/>
  <c r="L87" i="1"/>
  <c r="J87" i="1"/>
  <c r="AA86" i="1"/>
  <c r="Z86" i="1"/>
  <c r="Y86" i="1"/>
  <c r="X86" i="1"/>
  <c r="V86" i="1"/>
  <c r="U86" i="1"/>
  <c r="T86" i="1"/>
  <c r="M86" i="1"/>
  <c r="L86" i="1"/>
  <c r="J86" i="1"/>
  <c r="AA85" i="1"/>
  <c r="Z85" i="1"/>
  <c r="Y85" i="1"/>
  <c r="X85" i="1"/>
  <c r="V85" i="1"/>
  <c r="U85" i="1"/>
  <c r="T85" i="1"/>
  <c r="M85" i="1"/>
  <c r="L85" i="1"/>
  <c r="J85" i="1"/>
  <c r="AA84" i="1"/>
  <c r="Z84" i="1"/>
  <c r="Y84" i="1"/>
  <c r="X84" i="1"/>
  <c r="V84" i="1"/>
  <c r="U84" i="1"/>
  <c r="T84" i="1"/>
  <c r="M84" i="1"/>
  <c r="L84" i="1"/>
  <c r="J84" i="1"/>
  <c r="AA83" i="1"/>
  <c r="Z83" i="1"/>
  <c r="Y83" i="1"/>
  <c r="X83" i="1"/>
  <c r="V83" i="1"/>
  <c r="U83" i="1"/>
  <c r="T83" i="1"/>
  <c r="M83" i="1"/>
  <c r="L83" i="1"/>
  <c r="J83" i="1"/>
  <c r="AA82" i="1"/>
  <c r="Z82" i="1"/>
  <c r="Y82" i="1"/>
  <c r="X82" i="1"/>
  <c r="V82" i="1"/>
  <c r="U82" i="1"/>
  <c r="T82" i="1"/>
  <c r="M82" i="1"/>
  <c r="L82" i="1"/>
  <c r="J82" i="1"/>
  <c r="AA81" i="1"/>
  <c r="Z81" i="1"/>
  <c r="Y81" i="1"/>
  <c r="X81" i="1"/>
  <c r="V81" i="1"/>
  <c r="U81" i="1"/>
  <c r="T81" i="1"/>
  <c r="M81" i="1"/>
  <c r="L81" i="1"/>
  <c r="J81" i="1"/>
  <c r="AA80" i="1"/>
  <c r="Z80" i="1"/>
  <c r="Y80" i="1"/>
  <c r="X80" i="1"/>
  <c r="V80" i="1"/>
  <c r="U80" i="1"/>
  <c r="T80" i="1"/>
  <c r="M80" i="1"/>
  <c r="L80" i="1"/>
  <c r="J80" i="1"/>
  <c r="AA79" i="1"/>
  <c r="Z79" i="1"/>
  <c r="Y79" i="1"/>
  <c r="X79" i="1"/>
  <c r="V79" i="1"/>
  <c r="U79" i="1"/>
  <c r="T79" i="1"/>
  <c r="M79" i="1"/>
  <c r="L79" i="1"/>
  <c r="J79" i="1"/>
  <c r="AA78" i="1"/>
  <c r="Z78" i="1"/>
  <c r="Y78" i="1"/>
  <c r="X78" i="1"/>
  <c r="V78" i="1"/>
  <c r="U78" i="1"/>
  <c r="T78" i="1"/>
  <c r="M78" i="1"/>
  <c r="L78" i="1"/>
  <c r="J78" i="1"/>
  <c r="AA77" i="1"/>
  <c r="Z77" i="1"/>
  <c r="Y77" i="1"/>
  <c r="X77" i="1"/>
  <c r="V77" i="1"/>
  <c r="U77" i="1"/>
  <c r="T77" i="1"/>
  <c r="M77" i="1"/>
  <c r="L77" i="1"/>
  <c r="J77" i="1"/>
  <c r="AA76" i="1"/>
  <c r="Z76" i="1"/>
  <c r="Y76" i="1"/>
  <c r="X76" i="1"/>
  <c r="V76" i="1"/>
  <c r="U76" i="1"/>
  <c r="T76" i="1"/>
  <c r="M76" i="1"/>
  <c r="L76" i="1"/>
  <c r="J76" i="1"/>
  <c r="AA75" i="1"/>
  <c r="Z75" i="1"/>
  <c r="Y75" i="1"/>
  <c r="X75" i="1"/>
  <c r="V75" i="1"/>
  <c r="U75" i="1"/>
  <c r="T75" i="1"/>
  <c r="M75" i="1"/>
  <c r="L75" i="1"/>
  <c r="J75" i="1"/>
  <c r="AA74" i="1"/>
  <c r="Z74" i="1"/>
  <c r="Y74" i="1"/>
  <c r="X74" i="1"/>
  <c r="V74" i="1"/>
  <c r="U74" i="1"/>
  <c r="T74" i="1"/>
  <c r="M74" i="1"/>
  <c r="L74" i="1"/>
  <c r="J74" i="1"/>
  <c r="AA73" i="1"/>
  <c r="Z73" i="1"/>
  <c r="Y73" i="1"/>
  <c r="X73" i="1"/>
  <c r="V73" i="1"/>
  <c r="U73" i="1"/>
  <c r="T73" i="1"/>
  <c r="M73" i="1"/>
  <c r="L73" i="1"/>
  <c r="J73" i="1"/>
  <c r="AA72" i="1"/>
  <c r="Z72" i="1"/>
  <c r="Y72" i="1"/>
  <c r="X72" i="1"/>
  <c r="V72" i="1"/>
  <c r="U72" i="1"/>
  <c r="T72" i="1"/>
  <c r="M72" i="1"/>
  <c r="L72" i="1"/>
  <c r="J72" i="1"/>
  <c r="AA71" i="1"/>
  <c r="Z71" i="1"/>
  <c r="Y71" i="1"/>
  <c r="X71" i="1"/>
  <c r="V71" i="1"/>
  <c r="U71" i="1"/>
  <c r="T71" i="1"/>
  <c r="M71" i="1"/>
  <c r="L71" i="1"/>
  <c r="J71" i="1"/>
  <c r="AA70" i="1"/>
  <c r="Z70" i="1"/>
  <c r="Y70" i="1"/>
  <c r="X70" i="1"/>
  <c r="V70" i="1"/>
  <c r="U70" i="1"/>
  <c r="T70" i="1"/>
  <c r="M70" i="1"/>
  <c r="L70" i="1"/>
  <c r="J70" i="1"/>
  <c r="AA69" i="1"/>
  <c r="Z69" i="1"/>
  <c r="Y69" i="1"/>
  <c r="X69" i="1"/>
  <c r="V69" i="1"/>
  <c r="U69" i="1"/>
  <c r="T69" i="1"/>
  <c r="M69" i="1"/>
  <c r="L69" i="1"/>
  <c r="J69" i="1"/>
  <c r="AA68" i="1"/>
  <c r="Z68" i="1"/>
  <c r="Y68" i="1"/>
  <c r="X68" i="1"/>
  <c r="V68" i="1"/>
  <c r="U68" i="1"/>
  <c r="T68" i="1"/>
  <c r="M68" i="1"/>
  <c r="L68" i="1"/>
  <c r="J68" i="1"/>
  <c r="AA67" i="1"/>
  <c r="Z67" i="1"/>
  <c r="Y67" i="1"/>
  <c r="X67" i="1"/>
  <c r="V67" i="1"/>
  <c r="U67" i="1"/>
  <c r="T67" i="1"/>
  <c r="M67" i="1"/>
  <c r="L67" i="1"/>
  <c r="J67" i="1"/>
  <c r="AA66" i="1"/>
  <c r="Z66" i="1"/>
  <c r="Y66" i="1"/>
  <c r="X66" i="1"/>
  <c r="V66" i="1"/>
  <c r="U66" i="1"/>
  <c r="T66" i="1"/>
  <c r="M66" i="1"/>
  <c r="L66" i="1"/>
  <c r="J66" i="1"/>
  <c r="AA65" i="1"/>
  <c r="Z65" i="1"/>
  <c r="Y65" i="1"/>
  <c r="X65" i="1"/>
  <c r="V65" i="1"/>
  <c r="U65" i="1"/>
  <c r="T65" i="1"/>
  <c r="M65" i="1"/>
  <c r="L65" i="1"/>
  <c r="J65" i="1"/>
  <c r="AA64" i="1"/>
  <c r="Z64" i="1"/>
  <c r="Y64" i="1"/>
  <c r="X64" i="1"/>
  <c r="V64" i="1"/>
  <c r="U64" i="1"/>
  <c r="T64" i="1"/>
  <c r="M64" i="1"/>
  <c r="L64" i="1"/>
  <c r="J64" i="1"/>
  <c r="AA63" i="1"/>
  <c r="Z63" i="1"/>
  <c r="Y63" i="1"/>
  <c r="X63" i="1"/>
  <c r="V63" i="1"/>
  <c r="U63" i="1"/>
  <c r="T63" i="1"/>
  <c r="M63" i="1"/>
  <c r="L63" i="1"/>
  <c r="J63" i="1"/>
  <c r="AA62" i="1"/>
  <c r="Z62" i="1"/>
  <c r="Y62" i="1"/>
  <c r="X62" i="1"/>
  <c r="V62" i="1"/>
  <c r="U62" i="1"/>
  <c r="T62" i="1"/>
  <c r="M62" i="1"/>
  <c r="L62" i="1"/>
  <c r="J62" i="1"/>
  <c r="AA61" i="1"/>
  <c r="Z61" i="1"/>
  <c r="Y61" i="1"/>
  <c r="X61" i="1"/>
  <c r="V61" i="1"/>
  <c r="U61" i="1"/>
  <c r="T61" i="1"/>
  <c r="M61" i="1"/>
  <c r="L61" i="1"/>
  <c r="J61" i="1"/>
  <c r="AA60" i="1"/>
  <c r="Z60" i="1"/>
  <c r="Y60" i="1"/>
  <c r="X60" i="1"/>
  <c r="V60" i="1"/>
  <c r="U60" i="1"/>
  <c r="T60" i="1"/>
  <c r="M60" i="1"/>
  <c r="L60" i="1"/>
  <c r="J60" i="1"/>
  <c r="AA59" i="1"/>
  <c r="Z59" i="1"/>
  <c r="Y59" i="1"/>
  <c r="X59" i="1"/>
  <c r="V59" i="1"/>
  <c r="U59" i="1"/>
  <c r="T59" i="1"/>
  <c r="M59" i="1"/>
  <c r="L59" i="1"/>
  <c r="J59" i="1"/>
  <c r="AA58" i="1"/>
  <c r="Z58" i="1"/>
  <c r="Y58" i="1"/>
  <c r="X58" i="1"/>
  <c r="V58" i="1"/>
  <c r="U58" i="1"/>
  <c r="T58" i="1"/>
  <c r="M58" i="1"/>
  <c r="L58" i="1"/>
  <c r="J58" i="1"/>
  <c r="AA57" i="1"/>
  <c r="Z57" i="1"/>
  <c r="Y57" i="1"/>
  <c r="X57" i="1"/>
  <c r="V57" i="1"/>
  <c r="U57" i="1"/>
  <c r="T57" i="1"/>
  <c r="M57" i="1"/>
  <c r="L57" i="1"/>
  <c r="J57" i="1"/>
  <c r="AA56" i="1"/>
  <c r="Z56" i="1"/>
  <c r="Y56" i="1"/>
  <c r="X56" i="1"/>
  <c r="V56" i="1"/>
  <c r="U56" i="1"/>
  <c r="T56" i="1"/>
  <c r="M56" i="1"/>
  <c r="L56" i="1"/>
  <c r="J56" i="1"/>
  <c r="AA55" i="1"/>
  <c r="Z55" i="1"/>
  <c r="Y55" i="1"/>
  <c r="X55" i="1"/>
  <c r="V55" i="1"/>
  <c r="U55" i="1"/>
  <c r="T55" i="1"/>
  <c r="M55" i="1"/>
  <c r="L55" i="1"/>
  <c r="J55" i="1"/>
  <c r="AA54" i="1"/>
  <c r="Z54" i="1"/>
  <c r="Y54" i="1"/>
  <c r="X54" i="1"/>
  <c r="V54" i="1"/>
  <c r="U54" i="1"/>
  <c r="T54" i="1"/>
  <c r="M54" i="1"/>
  <c r="L54" i="1"/>
  <c r="J54" i="1"/>
  <c r="AA53" i="1"/>
  <c r="Z53" i="1"/>
  <c r="Y53" i="1"/>
  <c r="X53" i="1"/>
  <c r="V53" i="1"/>
  <c r="U53" i="1"/>
  <c r="T53" i="1"/>
  <c r="M53" i="1"/>
  <c r="L53" i="1"/>
  <c r="J53" i="1"/>
  <c r="AA52" i="1"/>
  <c r="Z52" i="1"/>
  <c r="Y52" i="1"/>
  <c r="X52" i="1"/>
  <c r="V52" i="1"/>
  <c r="U52" i="1"/>
  <c r="T52" i="1"/>
  <c r="M52" i="1"/>
  <c r="L52" i="1"/>
  <c r="J52" i="1"/>
  <c r="AA51" i="1"/>
  <c r="Z51" i="1"/>
  <c r="Y51" i="1"/>
  <c r="X51" i="1"/>
  <c r="V51" i="1"/>
  <c r="U51" i="1"/>
  <c r="T51" i="1"/>
  <c r="M51" i="1"/>
  <c r="L51" i="1"/>
  <c r="J51" i="1"/>
  <c r="AA50" i="1"/>
  <c r="Z50" i="1"/>
  <c r="Y50" i="1"/>
  <c r="X50" i="1"/>
  <c r="V50" i="1"/>
  <c r="U50" i="1"/>
  <c r="T50" i="1"/>
  <c r="M50" i="1"/>
  <c r="L50" i="1"/>
  <c r="J50" i="1"/>
  <c r="AA49" i="1"/>
  <c r="Z49" i="1"/>
  <c r="Y49" i="1"/>
  <c r="X49" i="1"/>
  <c r="V49" i="1"/>
  <c r="U49" i="1"/>
  <c r="T49" i="1"/>
  <c r="M49" i="1"/>
  <c r="L49" i="1"/>
  <c r="J49" i="1"/>
  <c r="AA48" i="1"/>
  <c r="Z48" i="1"/>
  <c r="Y48" i="1"/>
  <c r="X48" i="1"/>
  <c r="V48" i="1"/>
  <c r="U48" i="1"/>
  <c r="T48" i="1"/>
  <c r="M48" i="1"/>
  <c r="L48" i="1"/>
  <c r="J48" i="1"/>
  <c r="AA47" i="1"/>
  <c r="Z47" i="1"/>
  <c r="Y47" i="1"/>
  <c r="X47" i="1"/>
  <c r="V47" i="1"/>
  <c r="U47" i="1"/>
  <c r="T47" i="1"/>
  <c r="M47" i="1"/>
  <c r="L47" i="1"/>
  <c r="J47" i="1"/>
  <c r="AA46" i="1"/>
  <c r="Z46" i="1"/>
  <c r="Y46" i="1"/>
  <c r="X46" i="1"/>
  <c r="V46" i="1"/>
  <c r="U46" i="1"/>
  <c r="T46" i="1"/>
  <c r="M46" i="1"/>
  <c r="L46" i="1"/>
  <c r="J46" i="1"/>
  <c r="AA45" i="1"/>
  <c r="Z45" i="1"/>
  <c r="Y45" i="1"/>
  <c r="X45" i="1"/>
  <c r="V45" i="1"/>
  <c r="U45" i="1"/>
  <c r="T45" i="1"/>
  <c r="M45" i="1"/>
  <c r="L45" i="1"/>
  <c r="J45" i="1"/>
  <c r="AA44" i="1"/>
  <c r="Z44" i="1"/>
  <c r="Y44" i="1"/>
  <c r="X44" i="1"/>
  <c r="V44" i="1"/>
  <c r="U44" i="1"/>
  <c r="T44" i="1"/>
  <c r="M44" i="1"/>
  <c r="L44" i="1"/>
  <c r="J44" i="1"/>
  <c r="AA43" i="1"/>
  <c r="Z43" i="1"/>
  <c r="Y43" i="1"/>
  <c r="X43" i="1"/>
  <c r="V43" i="1"/>
  <c r="U43" i="1"/>
  <c r="T43" i="1"/>
  <c r="M43" i="1"/>
  <c r="L43" i="1"/>
  <c r="J43" i="1"/>
  <c r="AA42" i="1"/>
  <c r="Z42" i="1"/>
  <c r="Y42" i="1"/>
  <c r="X42" i="1"/>
  <c r="V42" i="1"/>
  <c r="U42" i="1"/>
  <c r="T42" i="1"/>
  <c r="M42" i="1"/>
  <c r="L42" i="1"/>
  <c r="J42" i="1"/>
  <c r="AA41" i="1"/>
  <c r="Z41" i="1"/>
  <c r="Y41" i="1"/>
  <c r="X41" i="1"/>
  <c r="V41" i="1"/>
  <c r="U41" i="1"/>
  <c r="T41" i="1"/>
  <c r="M41" i="1"/>
  <c r="L41" i="1"/>
  <c r="J41" i="1"/>
  <c r="AA40" i="1"/>
  <c r="Z40" i="1"/>
  <c r="Y40" i="1"/>
  <c r="X40" i="1"/>
  <c r="V40" i="1"/>
  <c r="U40" i="1"/>
  <c r="T40" i="1"/>
  <c r="M40" i="1"/>
  <c r="L40" i="1"/>
  <c r="J40" i="1"/>
  <c r="AA39" i="1"/>
  <c r="Z39" i="1"/>
  <c r="Y39" i="1"/>
  <c r="X39" i="1"/>
  <c r="V39" i="1"/>
  <c r="U39" i="1"/>
  <c r="T39" i="1"/>
  <c r="M39" i="1"/>
  <c r="L39" i="1"/>
  <c r="J39" i="1"/>
  <c r="AA38" i="1"/>
  <c r="Z38" i="1"/>
  <c r="Y38" i="1"/>
  <c r="X38" i="1"/>
  <c r="V38" i="1"/>
  <c r="U38" i="1"/>
  <c r="T38" i="1"/>
  <c r="M38" i="1"/>
  <c r="L38" i="1"/>
  <c r="J38" i="1"/>
  <c r="AA37" i="1"/>
  <c r="Z37" i="1"/>
  <c r="Y37" i="1"/>
  <c r="X37" i="1"/>
  <c r="V37" i="1"/>
  <c r="U37" i="1"/>
  <c r="T37" i="1"/>
  <c r="M37" i="1"/>
  <c r="L37" i="1"/>
  <c r="J37" i="1"/>
  <c r="AA36" i="1"/>
  <c r="Z36" i="1"/>
  <c r="Y36" i="1"/>
  <c r="X36" i="1"/>
  <c r="V36" i="1"/>
  <c r="U36" i="1"/>
  <c r="T36" i="1"/>
  <c r="M36" i="1"/>
  <c r="L36" i="1"/>
  <c r="J36" i="1"/>
  <c r="AA35" i="1"/>
  <c r="Z35" i="1"/>
  <c r="Y35" i="1"/>
  <c r="X35" i="1"/>
  <c r="V35" i="1"/>
  <c r="U35" i="1"/>
  <c r="T35" i="1"/>
  <c r="M35" i="1"/>
  <c r="L35" i="1"/>
  <c r="J35" i="1"/>
  <c r="AA34" i="1"/>
  <c r="Z34" i="1"/>
  <c r="Y34" i="1"/>
  <c r="X34" i="1"/>
  <c r="V34" i="1"/>
  <c r="U34" i="1"/>
  <c r="T34" i="1"/>
  <c r="M34" i="1"/>
  <c r="L34" i="1"/>
  <c r="J34" i="1"/>
  <c r="AA33" i="1"/>
  <c r="Z33" i="1"/>
  <c r="Y33" i="1"/>
  <c r="X33" i="1"/>
  <c r="V33" i="1"/>
  <c r="U33" i="1"/>
  <c r="T33" i="1"/>
  <c r="M33" i="1"/>
  <c r="L33" i="1"/>
  <c r="J33" i="1"/>
  <c r="AA32" i="1"/>
  <c r="Z32" i="1"/>
  <c r="Y32" i="1"/>
  <c r="X32" i="1"/>
  <c r="V32" i="1"/>
  <c r="U32" i="1"/>
  <c r="T32" i="1"/>
  <c r="M32" i="1"/>
  <c r="L32" i="1"/>
  <c r="J32" i="1"/>
  <c r="AA31" i="1"/>
  <c r="Z31" i="1"/>
  <c r="Y31" i="1"/>
  <c r="X31" i="1"/>
  <c r="V31" i="1"/>
  <c r="U31" i="1"/>
  <c r="T31" i="1"/>
  <c r="M31" i="1"/>
  <c r="L31" i="1"/>
  <c r="J31" i="1"/>
  <c r="AA30" i="1"/>
  <c r="Z30" i="1"/>
  <c r="Y30" i="1"/>
  <c r="X30" i="1"/>
  <c r="V30" i="1"/>
  <c r="U30" i="1"/>
  <c r="T30" i="1"/>
  <c r="M30" i="1"/>
  <c r="L30" i="1"/>
  <c r="J30" i="1"/>
  <c r="AA29" i="1"/>
  <c r="Z29" i="1"/>
  <c r="Y29" i="1"/>
  <c r="X29" i="1"/>
  <c r="V29" i="1"/>
  <c r="U29" i="1"/>
  <c r="T29" i="1"/>
  <c r="M29" i="1"/>
  <c r="L29" i="1"/>
  <c r="J29" i="1"/>
  <c r="AA28" i="1"/>
  <c r="Z28" i="1"/>
  <c r="Y28" i="1"/>
  <c r="X28" i="1"/>
  <c r="V28" i="1"/>
  <c r="U28" i="1"/>
  <c r="T28" i="1"/>
  <c r="M28" i="1"/>
  <c r="L28" i="1"/>
  <c r="J28" i="1"/>
  <c r="AA27" i="1"/>
  <c r="Z27" i="1"/>
  <c r="Y27" i="1"/>
  <c r="X27" i="1"/>
  <c r="V27" i="1"/>
  <c r="U27" i="1"/>
  <c r="T27" i="1"/>
  <c r="M27" i="1"/>
  <c r="L27" i="1"/>
  <c r="J27" i="1"/>
  <c r="AA26" i="1"/>
  <c r="Z26" i="1"/>
  <c r="Y26" i="1"/>
  <c r="X26" i="1"/>
  <c r="V26" i="1"/>
  <c r="U26" i="1"/>
  <c r="T26" i="1"/>
  <c r="M26" i="1"/>
  <c r="L26" i="1"/>
  <c r="J26" i="1"/>
  <c r="AA25" i="1"/>
  <c r="Z25" i="1"/>
  <c r="Y25" i="1"/>
  <c r="X25" i="1"/>
  <c r="V25" i="1"/>
  <c r="U25" i="1"/>
  <c r="T25" i="1"/>
  <c r="M25" i="1"/>
  <c r="L25" i="1"/>
  <c r="J25" i="1"/>
  <c r="AA24" i="1"/>
  <c r="Z24" i="1"/>
  <c r="Y24" i="1"/>
  <c r="X24" i="1"/>
  <c r="V24" i="1"/>
  <c r="U24" i="1"/>
  <c r="T24" i="1"/>
  <c r="M24" i="1"/>
  <c r="L24" i="1"/>
  <c r="J24" i="1"/>
  <c r="AA23" i="1"/>
  <c r="Z23" i="1"/>
  <c r="Y23" i="1"/>
  <c r="X23" i="1"/>
  <c r="V23" i="1"/>
  <c r="U23" i="1"/>
  <c r="T23" i="1"/>
  <c r="M23" i="1"/>
  <c r="L23" i="1"/>
  <c r="J23" i="1"/>
  <c r="AA22" i="1"/>
  <c r="Z22" i="1"/>
  <c r="Y22" i="1"/>
  <c r="X22" i="1"/>
  <c r="V22" i="1"/>
  <c r="U22" i="1"/>
  <c r="T22" i="1"/>
  <c r="M22" i="1"/>
  <c r="L22" i="1"/>
  <c r="J22" i="1"/>
  <c r="AA21" i="1"/>
  <c r="Z21" i="1"/>
  <c r="Y21" i="1"/>
  <c r="X21" i="1"/>
  <c r="V21" i="1"/>
  <c r="U21" i="1"/>
  <c r="T21" i="1"/>
  <c r="M21" i="1"/>
  <c r="L21" i="1"/>
  <c r="J21" i="1"/>
  <c r="AA20" i="1"/>
  <c r="Z20" i="1"/>
  <c r="Y20" i="1"/>
  <c r="X20" i="1"/>
  <c r="V20" i="1"/>
  <c r="U20" i="1"/>
  <c r="T20" i="1"/>
  <c r="M20" i="1"/>
  <c r="L20" i="1"/>
  <c r="J20" i="1"/>
  <c r="AA19" i="1"/>
  <c r="Z19" i="1"/>
  <c r="Y19" i="1"/>
  <c r="X19" i="1"/>
  <c r="V19" i="1"/>
  <c r="U19" i="1"/>
  <c r="T19" i="1"/>
  <c r="M19" i="1"/>
  <c r="L19" i="1"/>
  <c r="J19" i="1"/>
  <c r="AA18" i="1"/>
  <c r="Z18" i="1"/>
  <c r="Y18" i="1"/>
  <c r="X18" i="1"/>
  <c r="V18" i="1"/>
  <c r="U18" i="1"/>
  <c r="T18" i="1"/>
  <c r="M18" i="1"/>
  <c r="L18" i="1"/>
  <c r="J18" i="1"/>
  <c r="AA17" i="1"/>
  <c r="Z17" i="1"/>
  <c r="Y17" i="1"/>
  <c r="X17" i="1"/>
  <c r="V17" i="1"/>
  <c r="U17" i="1"/>
  <c r="T17" i="1"/>
  <c r="M17" i="1"/>
  <c r="L17" i="1"/>
  <c r="J17" i="1"/>
  <c r="AA16" i="1"/>
  <c r="Z16" i="1"/>
  <c r="Y16" i="1"/>
  <c r="X16" i="1"/>
  <c r="V16" i="1"/>
  <c r="U16" i="1"/>
  <c r="T16" i="1"/>
  <c r="M16" i="1"/>
  <c r="L16" i="1"/>
  <c r="J16" i="1"/>
  <c r="AA15" i="1"/>
  <c r="Z15" i="1"/>
  <c r="Y15" i="1"/>
  <c r="X15" i="1"/>
  <c r="V15" i="1"/>
  <c r="U15" i="1"/>
  <c r="T15" i="1"/>
  <c r="M15" i="1"/>
  <c r="L15" i="1"/>
  <c r="J15" i="1"/>
  <c r="AA14" i="1"/>
  <c r="Z14" i="1"/>
  <c r="Y14" i="1"/>
  <c r="X14" i="1"/>
  <c r="V14" i="1"/>
  <c r="U14" i="1"/>
  <c r="T14" i="1"/>
  <c r="M14" i="1"/>
  <c r="L14" i="1"/>
  <c r="J14" i="1"/>
  <c r="AA13" i="1"/>
  <c r="Z13" i="1"/>
  <c r="Y13" i="1"/>
  <c r="X13" i="1"/>
  <c r="V13" i="1"/>
  <c r="U13" i="1"/>
  <c r="T13" i="1"/>
  <c r="M13" i="1"/>
  <c r="L13" i="1"/>
  <c r="J13" i="1"/>
  <c r="AA12" i="1"/>
  <c r="Z12" i="1"/>
  <c r="Y12" i="1"/>
  <c r="X12" i="1"/>
  <c r="V12" i="1"/>
  <c r="U12" i="1"/>
  <c r="T12" i="1"/>
  <c r="M12" i="1"/>
  <c r="L12" i="1"/>
  <c r="J12" i="1"/>
  <c r="AA11" i="1"/>
  <c r="Z11" i="1"/>
  <c r="Y11" i="1"/>
  <c r="X11" i="1"/>
  <c r="V11" i="1"/>
  <c r="U11" i="1"/>
  <c r="T11" i="1"/>
  <c r="M11" i="1"/>
  <c r="L11" i="1"/>
  <c r="J11" i="1"/>
  <c r="AA10" i="1"/>
  <c r="Z10" i="1"/>
  <c r="Y10" i="1"/>
  <c r="X10" i="1"/>
  <c r="V10" i="1"/>
  <c r="U10" i="1"/>
  <c r="T10" i="1"/>
  <c r="M10" i="1"/>
  <c r="L10" i="1"/>
  <c r="J10" i="1"/>
  <c r="AA9" i="1"/>
  <c r="Z9" i="1"/>
  <c r="Y9" i="1"/>
  <c r="X9" i="1"/>
  <c r="V9" i="1"/>
  <c r="U9" i="1"/>
  <c r="T9" i="1"/>
  <c r="M9" i="1"/>
  <c r="L9" i="1"/>
  <c r="J9" i="1"/>
  <c r="AA8" i="1"/>
  <c r="Z8" i="1"/>
  <c r="Y8" i="1"/>
  <c r="X8" i="1"/>
  <c r="V8" i="1"/>
  <c r="U8" i="1"/>
  <c r="T8" i="1"/>
  <c r="M8" i="1"/>
  <c r="L8" i="1"/>
  <c r="J8" i="1"/>
  <c r="AA7" i="1"/>
  <c r="Z7" i="1"/>
  <c r="Y7" i="1"/>
  <c r="X7" i="1"/>
  <c r="V7" i="1"/>
  <c r="U7" i="1"/>
  <c r="T7" i="1"/>
  <c r="M7" i="1"/>
  <c r="L7" i="1"/>
  <c r="J7" i="1"/>
  <c r="AA6" i="1"/>
  <c r="Z6" i="1"/>
  <c r="Y6" i="1"/>
  <c r="X6" i="1"/>
  <c r="V6" i="1"/>
  <c r="U6" i="1"/>
  <c r="T6" i="1"/>
  <c r="M6" i="1"/>
  <c r="L6" i="1"/>
  <c r="J6" i="1"/>
  <c r="AA5" i="1"/>
  <c r="Z5" i="1"/>
  <c r="Y5" i="1"/>
  <c r="X5" i="1"/>
  <c r="V5" i="1"/>
  <c r="U5" i="1"/>
  <c r="T5" i="1"/>
  <c r="M5" i="1"/>
  <c r="L5" i="1"/>
  <c r="J5" i="1"/>
  <c r="AA4" i="1"/>
  <c r="Z4" i="1"/>
  <c r="Y4" i="1"/>
  <c r="X4" i="1"/>
  <c r="V4" i="1"/>
  <c r="U4" i="1"/>
  <c r="T4" i="1"/>
  <c r="M4" i="1"/>
  <c r="L4" i="1"/>
  <c r="J4" i="1"/>
  <c r="AA3" i="1"/>
  <c r="Z3" i="1"/>
  <c r="Y3" i="1"/>
  <c r="X3" i="1"/>
  <c r="V3" i="1"/>
  <c r="U3" i="1"/>
  <c r="T3" i="1"/>
  <c r="M3" i="1"/>
  <c r="L3" i="1"/>
  <c r="J3" i="1"/>
  <c r="AA2" i="1"/>
  <c r="Z2" i="1"/>
  <c r="Y2" i="1"/>
  <c r="X2" i="1"/>
  <c r="V2" i="1"/>
  <c r="U2" i="1"/>
  <c r="T2" i="1"/>
  <c r="M2" i="1"/>
  <c r="L2" i="1"/>
  <c r="J2" i="1"/>
</calcChain>
</file>

<file path=xl/sharedStrings.xml><?xml version="1.0" encoding="utf-8"?>
<sst xmlns="http://schemas.openxmlformats.org/spreadsheetml/2006/main" count="12493" uniqueCount="1330">
  <si>
    <t>PAO Name</t>
  </si>
  <si>
    <t>Sub Property Accounting Officer Representative Name</t>
  </si>
  <si>
    <t>CSU Ship To Location</t>
  </si>
  <si>
    <t>Stock Type</t>
  </si>
  <si>
    <t>CISPOC Name</t>
  </si>
  <si>
    <t>Custodian Account</t>
  </si>
  <si>
    <t>Custodian Subninv</t>
  </si>
  <si>
    <t>Locator</t>
  </si>
  <si>
    <t>wspc-wsac</t>
  </si>
  <si>
    <t>Item</t>
  </si>
  <si>
    <t>Description</t>
  </si>
  <si>
    <t>Supplier</t>
  </si>
  <si>
    <t>Supplier Part nr</t>
  </si>
  <si>
    <t>Uom</t>
  </si>
  <si>
    <t>Shelf Life Control</t>
  </si>
  <si>
    <t>NDSS Item(s)</t>
  </si>
  <si>
    <t>Serial Number</t>
  </si>
  <si>
    <t>Vendor serial number</t>
  </si>
  <si>
    <t>Serial Number Status</t>
  </si>
  <si>
    <t xml:space="preserve">Manufacturer </t>
  </si>
  <si>
    <t>Manuf. Part Nr.</t>
  </si>
  <si>
    <t>Assembly Serial</t>
  </si>
  <si>
    <t>Main Assembly Serial</t>
  </si>
  <si>
    <t>Acquisition Date</t>
  </si>
  <si>
    <t>Acquisition Price</t>
  </si>
  <si>
    <t>Marselis, Cornelis Jacobus COL</t>
  </si>
  <si>
    <t>Paleologo, Giuseppe LTCDR</t>
  </si>
  <si>
    <t>NCIA CSSC</t>
  </si>
  <si>
    <t>Stock</t>
  </si>
  <si>
    <t>Correntes Quinzereis, Vitor Manuel Mr</t>
  </si>
  <si>
    <t>HBTX</t>
  </si>
  <si>
    <t>HBTX 60-15956 608</t>
  </si>
  <si>
    <t>T3.ZH</t>
  </si>
  <si>
    <t>DEHUMIDIFIER - SUP</t>
  </si>
  <si>
    <t>EA</t>
  </si>
  <si>
    <t>No shelf life control</t>
  </si>
  <si>
    <t>Resides in stores</t>
  </si>
  <si>
    <t>T3.XX</t>
  </si>
  <si>
    <t>PLATFORM, REAR SIDE, TSGT-3</t>
  </si>
  <si>
    <t>PLATFORM, ROAD SIDE, TSGT-3</t>
  </si>
  <si>
    <t>LADDER, PLATFORM, TMP, TSGT-3</t>
  </si>
  <si>
    <t>COVER, ALL WEATHER, FOR TRS PLATFORM - SUP</t>
  </si>
  <si>
    <t>SA.EM / T2.EM / T3.EM</t>
  </si>
  <si>
    <t>RACK, MODEM - MUST ORDER WITH 5895SB0004003</t>
  </si>
  <si>
    <t>T3.AE / T3.AS</t>
  </si>
  <si>
    <t>POWER DRIVE UNIT, 2.4M</t>
  </si>
  <si>
    <t>HBTX 60-15955 601</t>
  </si>
  <si>
    <t>SA.MD</t>
  </si>
  <si>
    <t>MODEM, SATCOM, 64-155MBPS, MD-1366A/U EBEM</t>
  </si>
  <si>
    <t>MS.BE / T2.BE / T3.BE</t>
  </si>
  <si>
    <t>MODEM, SATELLITE, COMTECH/RADYNE DMD20 166, 1.544MBPS, BNC 75OHM, SMA 50OHM, -50 DBC IN-BAND</t>
  </si>
  <si>
    <t>T3.BE</t>
  </si>
  <si>
    <t>TRANSLATOR, TEST LOOP, DNS 8 15/7 5TR</t>
  </si>
  <si>
    <t>ENCLOSURE ASSEMBLY, OUTDOOR,  DISMOUNTE, 10538-05015-003 - SUP</t>
  </si>
  <si>
    <t>T2.TE / T3.BE</t>
  </si>
  <si>
    <t>CONVERTER, ELECTRONIC FREQUENCY, BLOCK, UP, MODEL UPB1-8.15TR FPGC, FRONT PANEL CONTROL GAIN, GLOBECOMM UPB1-8.15TR FPGC</t>
  </si>
  <si>
    <t>T2.RE / T3.BE</t>
  </si>
  <si>
    <t>CONVERTER, AUDIO, 32DB-18DB, DNB1-7.5TR, BLOCK, DOWN</t>
  </si>
  <si>
    <t>CONTROLLER, PHASE COMBINER, SWITCHING, SPECIALTY MICROWAVE 12721B-500, 1:1 DUAL</t>
  </si>
  <si>
    <t>T3.AE</t>
  </si>
  <si>
    <t>CONTROLLER, ANTENNA 2.4M, GLOBECOMM 99-261-3004-03, HAND HELD</t>
  </si>
  <si>
    <t>T2.RE / T2.TE / T3.BE</t>
  </si>
  <si>
    <t>UNIT, REDUNDANT SWITCHOVER, 1:1, NARDA MITEQ</t>
  </si>
  <si>
    <t>SA.AS</t>
  </si>
  <si>
    <t>MODEM, THALES CO, EMSE, 62778856AA</t>
  </si>
  <si>
    <t>CHASSIS, EMS, 7 SLOT, FOR TSGT (EMS), DOOR - MUST ORDER WITH 5895SB0001941</t>
  </si>
  <si>
    <t>T3.UP</t>
  </si>
  <si>
    <t>VOLTAGE STANDARD, LOW, DISCONNECT SWITCH ASSY</t>
  </si>
  <si>
    <t>SA.XX</t>
  </si>
  <si>
    <t>CHASSIS, BELL POWER XG1948, RM, 19", 48V, INCL. CONTROLLER, SNMP OPTION</t>
  </si>
  <si>
    <t>T2.XX / T3.XX</t>
  </si>
  <si>
    <t>BOX, REMOTE MONITORING, TSGT3-UTSGT</t>
  </si>
  <si>
    <t>T2.FE / T3.BE</t>
  </si>
  <si>
    <t>CHASSIS, DISTRIBUTION, TFRS, SPECTRACOM SAS17E</t>
  </si>
  <si>
    <t>T2.ZT / T3.ZT</t>
  </si>
  <si>
    <t>MONITOR, WIND SPEED, 10537-08012 - SUP</t>
  </si>
  <si>
    <t>ANTENNA, SATCOM, X-BAND, 2.4MR, LOW PIM</t>
  </si>
  <si>
    <t>T2.AE / T3.BE</t>
  </si>
  <si>
    <t>CONTROL UNIT, ANTENNA, TSGT 3RD GENERATION, 123T-02-S04A-01</t>
  </si>
  <si>
    <t>PLATE, LNA, FOR 2.4M ANTENNA</t>
  </si>
  <si>
    <t>PLATE, RF, FOR 2.4M ANTENNA</t>
  </si>
  <si>
    <t>T2.AA</t>
  </si>
  <si>
    <t>LNA, X BAND, GDSATCOM LXA7S45, FOR TSGT ANTENNA, CARC PAINT</t>
  </si>
  <si>
    <t>A2.XX / T2.XX / T3.BE / T3.TT / ZS.TT</t>
  </si>
  <si>
    <t>CABLE ASSEMBLY, FO, SM, HMA, 4 CHANNEL, LENGTH=250MR, ON REEL, WITH STAND</t>
  </si>
  <si>
    <t>MS.XX / T3.TE</t>
  </si>
  <si>
    <t>AMPLIFIER, RF, 250W, SSPA, X-BAND - SUP</t>
  </si>
  <si>
    <t>MODULE, AMPLIFIER, POWER, IN-LINE, LPA</t>
  </si>
  <si>
    <t>AMPLIFIER, ASSEMBLY, IN-LINE, INDOOR - SUP</t>
  </si>
  <si>
    <t>MODULE, CCA, ECU, TSGT, EMS - EOL</t>
  </si>
  <si>
    <t>MODULE, CCA, EMU, TSGT, EMS - EOL</t>
  </si>
  <si>
    <t>MODULE, CCA, CU, TSGT, EMS - EOL</t>
  </si>
  <si>
    <t>RECTIFIER, 48V, 60.4A, 2900W, UNIPOWER FMPE30.48G</t>
  </si>
  <si>
    <t>MODULE, CONTROLLER, UNIPOWER YCU.00069, ACC EXTENDED, RJ45/USB, FOR DC POWER SYSTEMS</t>
  </si>
  <si>
    <t>CONTROLLER, LOW NOISE AMPLIFIER (LNA), DUAL - SUP</t>
  </si>
  <si>
    <t>T2.TE</t>
  </si>
  <si>
    <t>RF SWITCH, WR-112, TRANSFER</t>
  </si>
  <si>
    <t>ASSEMBLY, GLOBECOMM SYSTEMS 10538-05027, DC CONVERTER, NATO TSGT - SUP</t>
  </si>
  <si>
    <t>AP.NW / T3.BE</t>
  </si>
  <si>
    <t>PATCHCORD, BULKHEAD, HMA - 4XSC, 4CHANNEL, SM, LENGTH=3MR</t>
  </si>
  <si>
    <t>POWER CONVERTER, SUBRACK, 2 POSITION, INVERTER - SUP</t>
  </si>
  <si>
    <t>POWER CONVERTER, 48VDC, 240VAC, 5000W, 2U, 19", RACKMOUNT, INVERTER</t>
  </si>
  <si>
    <t>POWER CONVERTER, 48VDC, 240VAC, 5000W, 2U, 19", RACKMOUNT, INVERTER, INCLUDING CONTROLLER</t>
  </si>
  <si>
    <t>ASSEMBLY, DISCONNECT , LOW VOLTAGE, 19', WITHOUT LVD MODULES - SUP</t>
  </si>
  <si>
    <t>UPS ASSEMBLY, SUM &amp; DISTRIBUTION</t>
  </si>
  <si>
    <t>POWER DISTRIB ASSY,TECHNICAL POWER</t>
  </si>
  <si>
    <t>T3.PG</t>
  </si>
  <si>
    <t>PDU, POWER DISTRIBUTION ASSY, MAIN POWER</t>
  </si>
  <si>
    <t>T2.FE / T3.FE</t>
  </si>
  <si>
    <t>MODULE, GPS DISCIPLINED RUBIDIUM OSCILLATOR, SPECTRACOM 9383 - SUP</t>
  </si>
  <si>
    <t>HW.AF / VS.MN / VS.XX</t>
  </si>
  <si>
    <t>RECEIVER, SATTELITE GPS/GNS, 10 MHZ REFERENCE SOURCE, 15M CAB</t>
  </si>
  <si>
    <t>SONIMOMETER, TACMET 2010 W/RS-232</t>
  </si>
  <si>
    <t>T3.ZT</t>
  </si>
  <si>
    <t>SONIMOMETER, GPS MAST ASSY</t>
  </si>
  <si>
    <t>T2.AS / T2.XX / T3.AS / T3.XX</t>
  </si>
  <si>
    <t>LAPTOP, GETAC P470, 14.1", IC2 DUO T7200 2GHZ, 2GB DDR2, 160GB HDD, RUGGEDISED, ASNMC - EOL</t>
  </si>
  <si>
    <t>UL.LP</t>
  </si>
  <si>
    <t>LAPTOP, GETAC S400, 14", I5-3320M 2.6GHZ, 4GB DDR3, INTEL HD 4000, 320GB HDD</t>
  </si>
  <si>
    <t>T3.PC</t>
  </si>
  <si>
    <t>WORKSTATION, RACK MOUNT, 1U, DSO TSGT LCA</t>
  </si>
  <si>
    <t>LAPTOP, GETAC S400, 14", TSGT DSO LCAM</t>
  </si>
  <si>
    <t>HBTX 86-14225 801</t>
  </si>
  <si>
    <t>LAPTOP, DELL LATITUDE 14 5414, 14", I5-6300U 2.4GHZ, 8GB DDR3, AMD RADEON R7 M360, 128GB HDD, RUGGED</t>
  </si>
  <si>
    <t>WORKSTATION, RACK MOUNT, 1U, DSO TSGT EMS</t>
  </si>
  <si>
    <t>KVM CONSOLE, REXTRON HKSE-10, RM 19", 1U, MONITOR 17", QWERTY KEYBOARD, TOUCHPAD, KVM SWITCH 8 PORT</t>
  </si>
  <si>
    <t>T2.AS / T3.AS</t>
  </si>
  <si>
    <t>SWITCH, NETWORK, NETGEAR PROSAFE FS108P, DESKTOP, 8 PORT, RJ45</t>
  </si>
  <si>
    <t>AP.RT / BM.CO / CG.RT / CK.RT / DS.XX / LI.RT / LN.EE / NA.XX / NI.CR / NM.XX / RT.CI / RT.XX</t>
  </si>
  <si>
    <t>SWITCH, NETWORK, CISCO WS-C3750G-12S-S, 12 PORT SFP, RM, 1U</t>
  </si>
  <si>
    <t>ROUTER, CISCO 7301, 3 PORT RJ45 + 3 PORT SFP, RM, 1U - EOL</t>
  </si>
  <si>
    <t>LM.XX</t>
  </si>
  <si>
    <t>ROUTER, CISCO 2901/K9, 6 SLOT, 2 PORT, RM, 1U - EOL</t>
  </si>
  <si>
    <t>T3.RT</t>
  </si>
  <si>
    <t>ROUTER, IDIRECT E8000, SATTELITE, RM, 1U</t>
  </si>
  <si>
    <t>NATO UNCLASSIFIED</t>
  </si>
  <si>
    <t>Report Date</t>
  </si>
  <si>
    <t>Page</t>
  </si>
  <si>
    <t>1 of 1</t>
  </si>
  <si>
    <t>Kalbarczyk, Adam Mr</t>
  </si>
  <si>
    <t>NCIA FSP3, BYDGOSZCZ</t>
  </si>
  <si>
    <t>Punyer, Lee Mr</t>
  </si>
  <si>
    <t>O10X</t>
  </si>
  <si>
    <t>O10X 60-15956 608</t>
  </si>
  <si>
    <t>AMPLIFIER, TWT, 750W, X-BAND - SUP</t>
  </si>
  <si>
    <t>SYSTEM, TSGT 2GEN / UTSGT, MAIN ASSEMBLY</t>
  </si>
  <si>
    <t>Installed</t>
  </si>
  <si>
    <t>SUB-SYSTEM, TSGT 2GEN / UTSGT, CIS SHELTER</t>
  </si>
  <si>
    <t>SUB-SYSTEM, TSGT 2GEN / UTSGT, ANTENNA TRAILER</t>
  </si>
  <si>
    <t>SUB-SYSTEM, TSGT 2GEN / UTSGT, GENERATOR</t>
  </si>
  <si>
    <t>SUB-SYSTEM, TSGT 2GEN / UTSGT, CABLE CAGE &amp; ACCESSORIES</t>
  </si>
  <si>
    <t>T2.ZH</t>
  </si>
  <si>
    <t>CONDENSER - SUP</t>
  </si>
  <si>
    <t>EVAPORATOR - SUP</t>
  </si>
  <si>
    <t>UL.XX</t>
  </si>
  <si>
    <t>COMPRESSOR, AIR, 380V, 50HZ, BITZER 2CES-4Y</t>
  </si>
  <si>
    <t>T2.AB</t>
  </si>
  <si>
    <t>PRESSURISER, DEHYDRATOR</t>
  </si>
  <si>
    <t>T2.XX</t>
  </si>
  <si>
    <t>LADDER, TELESCOPIC, Z300 ,4X5</t>
  </si>
  <si>
    <t>T2.AE</t>
  </si>
  <si>
    <t>TRAILER &amp; POSITIONER ASSY</t>
  </si>
  <si>
    <t>T2.ZT</t>
  </si>
  <si>
    <t>TRANSLATOR, TEST LOOP, DNS-8.15/7.5TR</t>
  </si>
  <si>
    <t>ASSEMBLY, MACS INTERFACE, TSGT</t>
  </si>
  <si>
    <t>T2.AS</t>
  </si>
  <si>
    <t>ROUTER, IDIRECT 7350, SATTELITE, RM, 19", 1U, ASNMC EOW</t>
  </si>
  <si>
    <t>T2.TE / T3.TE</t>
  </si>
  <si>
    <t>CONTROLLER, PHASE COMBINER, SWITCHING, 12721B-500, 1:1 DUAL, SATCOM EQUIPMENT</t>
  </si>
  <si>
    <t>T2.BE</t>
  </si>
  <si>
    <t>UNIT, AC/DC</t>
  </si>
  <si>
    <t>T2.UP / T2.ZH</t>
  </si>
  <si>
    <t>CONTROL UNIT, ECU 2 - SUP</t>
  </si>
  <si>
    <t>T2.BE / T3.BE</t>
  </si>
  <si>
    <t>PATCH PANEL, FO, BASEBAND, ASSEMBLY</t>
  </si>
  <si>
    <t>ASSEMBLY, PATCH-AMPLIFIER-EQUALIZER, UPLINK, L-BAND</t>
  </si>
  <si>
    <t>SHELF, ASSEMBLY, COUPLER/DIVIDER, GLOBECOMM SYSTEMS, 10537-05027</t>
  </si>
  <si>
    <t>EXTRACTOR, FOR GROUND ANCHORS - SUP</t>
  </si>
  <si>
    <t>T2.UP</t>
  </si>
  <si>
    <t>PANEL, S2, POWER SWITCH</t>
  </si>
  <si>
    <t>ASSEMBLY, POWER DRIVE UNIT - SUP</t>
  </si>
  <si>
    <t>T2.TE / T3.FE</t>
  </si>
  <si>
    <t>RACKMOUNT KIT, 19'X1.75'X20'', FRAME, MULTIBAND 1/3</t>
  </si>
  <si>
    <t>POWER ETB ASSY</t>
  </si>
  <si>
    <t>PANEL, REFLECTOR, FOLDABLE</t>
  </si>
  <si>
    <t>FEED, X-BAND, ASSEMBLY</t>
  </si>
  <si>
    <t>ANTENNA, FOLDABLE, 4.8MR, TRUCKMOUNT</t>
  </si>
  <si>
    <t>ASSEMBLY, DOWNLINK, MODULE, L-BAND, PATCH&amp; LINE AMPLIFIER</t>
  </si>
  <si>
    <t>SUBREFLECTOR, X-BAND, ASSEMBLY</t>
  </si>
  <si>
    <t>MS.AE / T2.AE</t>
  </si>
  <si>
    <t>SUPPORT, FOLDING WINGS</t>
  </si>
  <si>
    <t>FEED, CONE, X-BAND - SUP</t>
  </si>
  <si>
    <t>T2.FE</t>
  </si>
  <si>
    <t>ANTENNA, TRIMBLE BULLET III, L1 BAND, 5V, GPS, F-TYPE CONNECTOR</t>
  </si>
  <si>
    <t>MS.ZE / SA.AE / T2.EM / T3.EM</t>
  </si>
  <si>
    <t>CABLE ASSEMBLY, EL, DTD-MR, KEK LOADING CABLE FOR EMS 8U</t>
  </si>
  <si>
    <t>PANEL, RF&amp;CONTROL, ETB ASSEMBLY</t>
  </si>
  <si>
    <t>PANEL, HPA&amp;TRAILER, ETB ASSEMBLY</t>
  </si>
  <si>
    <t>ASSEMBLY, TWT, FOR TWTA 750W, X-BAND</t>
  </si>
  <si>
    <t>T3.RE / T3.TT</t>
  </si>
  <si>
    <t>LNA, X-BAND, 45K, 50DB - SUP</t>
  </si>
  <si>
    <t>T2.RE</t>
  </si>
  <si>
    <t>O10X 50-15521 403</t>
  </si>
  <si>
    <t>MS.AE</t>
  </si>
  <si>
    <t>ASSEMBLY, CCU, GENERAL DYNAMICS SATCOM TECHNOLOGIES 98-123-2100-03 - SUP</t>
  </si>
  <si>
    <t>FOOT, STABILIZER - SUP</t>
  </si>
  <si>
    <t>CONTAINER</t>
  </si>
  <si>
    <t>MS.AS</t>
  </si>
  <si>
    <t>MOTOR, REWORKED - SUP</t>
  </si>
  <si>
    <t>PHONE, VOIP, SNOM 300, INCLUDING POWER SUPPLY, BLACK</t>
  </si>
  <si>
    <t>GENERATOR, POWER, DGA 850</t>
  </si>
  <si>
    <t>UPS, EATON, 400VAC, 12KVA, 32A, RM, 19", 6U</t>
  </si>
  <si>
    <t>T2.PG</t>
  </si>
  <si>
    <t>POWER DISTRIB. PANEL ASSY</t>
  </si>
  <si>
    <t>COMPASS, INDUCTION, INDICATOR</t>
  </si>
  <si>
    <t>GENERATOR, SIGNAL, RF, ANRITSU</t>
  </si>
  <si>
    <t>ID.XX / PS.05 / T2.ZT</t>
  </si>
  <si>
    <t>MULTIMETER, FLUKE 117, ELECTRIC, 600V, 40OHM</t>
  </si>
  <si>
    <t>ANALYZER, ANRITSU MS2665C, SPECTRUM, 9KHZ-21.2GHZ - EOL</t>
  </si>
  <si>
    <t>SA.ZT / T2.ZT / UL.ZT</t>
  </si>
  <si>
    <t>TESTER, NETWORK, ALL-IN-ONE, EOL</t>
  </si>
  <si>
    <t>CM.YZ / MS.TE / SA.TE / SA.ZT / T2.ZT</t>
  </si>
  <si>
    <t>PROBE, RF, 8781, 2-18GHZ, BROADBAND LEAKAGE</t>
  </si>
  <si>
    <t>CM.YZ / MS.XX / MS.ZT / SA.TE / SA.ZT / T2.ZT</t>
  </si>
  <si>
    <t>PORTABLE X-BAND RADIATION METER - SUP</t>
  </si>
  <si>
    <t>SA.CE / SA.ZT</t>
  </si>
  <si>
    <t>POWER METER - EOL</t>
  </si>
  <si>
    <t>MS.ZT / T2.ZT / UL.ZX</t>
  </si>
  <si>
    <t>DETECTOR, RF, PERSONAL, SLOW, RADMAN XT - EOL</t>
  </si>
  <si>
    <t>POWER SENSOR, 0-18GHZ, NRVZ51 - EOL</t>
  </si>
  <si>
    <t>AP.1N / T2.ZT</t>
  </si>
  <si>
    <t>MULTIMETER, FLUKE 322, CLAMP, 600VAC/VDC, 400A, EOL, SUP</t>
  </si>
  <si>
    <t>WEATHER SENSOR, SONIMOMETER, RS-232, TACMET 2010</t>
  </si>
  <si>
    <t>WORKSTATION, RACKMOUNT, LCAM, CONTROL &amp; MONITORING (ASNMC)</t>
  </si>
  <si>
    <t>SERVER, RM, DELL POWEREDGE R200, 19", 1U, MACS, CTO</t>
  </si>
  <si>
    <t>T3.AS / T3.ZT</t>
  </si>
  <si>
    <t>LAPTOP, DELL LATITUDE E54XX, 14.1", TSGT MACS DWS</t>
  </si>
  <si>
    <t>T2.AS / T2.EM / T3.AS</t>
  </si>
  <si>
    <t>KVM CONSOLE, KONTRON RPD-117X RM 19", 1U, MONITOR 17", KEYBOARD, 8 PORT KVM - EOL</t>
  </si>
  <si>
    <t>SA.CE / T2.AS / T3.AS</t>
  </si>
  <si>
    <t>KVM CONSOLE, LKM-9278G, RM 19", 1U, MONITOR 17", KEYBOARD, 8 PORT KVM - EOL</t>
  </si>
  <si>
    <t>ROUTER, CISCO 7301, 3 PORT RJ45 + 3PORT SFP, RM, 1U - EOL</t>
  </si>
  <si>
    <t>LN.DE / T2.BE</t>
  </si>
  <si>
    <t>SWITCH, NETWORK, CISCO WS-C2960-8TC-L, 8 PORT RJ45 + 1 PORT SFP, DESKTOP - EOL</t>
  </si>
  <si>
    <t>MODULE, NETWORK, CISCO NME-16ES-1G-P, 16 + 1 PORT RJ45, 10/100MBPS + 1GBPS, POE, FOR CISCO 28xx</t>
  </si>
  <si>
    <t>T2.AS / T2.FE / T3.BE</t>
  </si>
  <si>
    <t>SWITCH, NETWORK, DELL 3524, 24 PORT RJ45, 10/100, RM</t>
  </si>
  <si>
    <t>CASE, TRANSPORT, FOR GPS AND SONIMOMETER - SUP</t>
  </si>
  <si>
    <t>CASE, TRANSPORT, 590X420X195MM, FOR RF CABLES, SUITCASE, OUTDOOR</t>
  </si>
  <si>
    <t>Rutecki, Marcin</t>
  </si>
  <si>
    <t>OLAX</t>
  </si>
  <si>
    <t>OLAX 60-15956 608</t>
  </si>
  <si>
    <t>SYSTEM, TSGT 3GEN COMPLETE, CO-11790-TSGT</t>
  </si>
  <si>
    <t>SUB-SYSTEM, TSGT 3GEN T1, ANTENNA TRAILER</t>
  </si>
  <si>
    <t>SUB-SYSTEM, TSGT 3GEN T2, CIS SHELTER + T2</t>
  </si>
  <si>
    <t>SUB-SYSTEM, TSGT 3GEN GENERATOR</t>
  </si>
  <si>
    <t>SUB-SYSTEM, TSGT 3GEN AMV, CIS RELATED ACCESSORIES</t>
  </si>
  <si>
    <t>SUB-SYSTEM, TSGT 3GEN SHERPA VEHICLE</t>
  </si>
  <si>
    <t>CONDENSER, ASSEMBLY, ECU, GLOBECOM 1700C</t>
  </si>
  <si>
    <t>EVAPORATOR, ASSEMBLY, ECU - SUP</t>
  </si>
  <si>
    <t>JACK, LANDING GEAR, B - SUP</t>
  </si>
  <si>
    <t>JACK, LANDING GEAR, A1 - SUP</t>
  </si>
  <si>
    <t>POWER CONVERTER, 5.5KW, 15KVA, 232W, 380/500V, 3 PHASE, INVERTER</t>
  </si>
  <si>
    <t>LI.AC</t>
  </si>
  <si>
    <t>HEATER, TENT, DANTHERM VA-M15 MKII, 18KW, DIESEL - SUP</t>
  </si>
  <si>
    <t>TOOL SET, TECHNICIAN, TSGT</t>
  </si>
  <si>
    <t>PADLOCK SET, 9 PIECE/2X KEYS, 25MM</t>
  </si>
  <si>
    <t>PK</t>
  </si>
  <si>
    <t>ASSEMBLY, ELECTRONICS, 3 BAY, STREET SIDE, TSGT - SUP</t>
  </si>
  <si>
    <t>CONTROL, LOGIC, ECU, 9108782111 - SUP</t>
  </si>
  <si>
    <t>PANEL, RF MONITOR &amp; TEST</t>
  </si>
  <si>
    <t>ASSEMBLY, GPS NETWORK - SUP</t>
  </si>
  <si>
    <t>ASSEMBLY, ELECTRONICS, 4 BAY, T2, TSGT, DAC/DCIS DSO - SUP</t>
  </si>
  <si>
    <t>FILTER, ASSY FORWARD BULKHEAD SIGN.</t>
  </si>
  <si>
    <t>ASSEMBLY, SIGNAL FILTER, S-ETB, T1 INTERFACE - SUP</t>
  </si>
  <si>
    <t>ASSEMBLY, INTERFACE, S-ETB, PGS - SUP</t>
  </si>
  <si>
    <t>MONITOR, ECU, GLOBECOMM  222000239, 115V, 50HZ</t>
  </si>
  <si>
    <t>PANEL, TEST S-ETB, TSGT</t>
  </si>
  <si>
    <t>FEED, X-BAND, LOW PIM, 2.4M - SUP</t>
  </si>
  <si>
    <t>SHIELD, IGNITION, PIM, T-2, LOWER, GLOBECOMM SYSTEMS 10537-06076</t>
  </si>
  <si>
    <t>SPLITTER, GPS ANTENNA, 1 INPUT, 2 OUTPUT, DSO TSGT</t>
  </si>
  <si>
    <t>CABLE ASSEMBLY, RF</t>
  </si>
  <si>
    <t>MODULE, CCA, SERIAL, 4 PORT - SUP</t>
  </si>
  <si>
    <t>ASSEMBLY, CONVERTER, DC/DC, PCB</t>
  </si>
  <si>
    <t>MODULE, CONTROLLER, MODBUS, ADAM 6050, I/O, 7 CHANNEL RTD</t>
  </si>
  <si>
    <t>MODULE, SWITCH, NETWORK, GLOBECOMM AMP TYPE2, 16 PORT RJ45, SERIAL INTERFACE, FOR DACCC &amp; DSO TSGT</t>
  </si>
  <si>
    <t>ASSEMBLY, CONVERTER, DC/DC, COMBINER - SUP</t>
  </si>
  <si>
    <t>ASSEMBLY, CONVERTER, DC/DC, TSGT - SUP</t>
  </si>
  <si>
    <t>SHIELD, PIM, T-2, UPPER, GLOBECOMM SYSTEMS 10537-06077</t>
  </si>
  <si>
    <t>T3.TT</t>
  </si>
  <si>
    <t>CONTROLLER, ANTENNA 4.6M, GLOBECOMM 99-261-3004-01, HAND HELD</t>
  </si>
  <si>
    <t>FILTER UNIT, GAS PARTICULATE - GPFU</t>
  </si>
  <si>
    <t>SHELF, ASSEMBLY, COUPLER/DIVIDER, TSGT 3RD, GLOBECOMM SYSTEMS, 11008-05027</t>
  </si>
  <si>
    <t>MODULE, TRANSCEIVER, SFP, LC, SM, 1000BASE-LX/LH, 1310NM, 10KM, 30-1299-01</t>
  </si>
  <si>
    <t>A2.XX / T2.XX / T3.BE / T3.TT</t>
  </si>
  <si>
    <t>CABLE, FO, SM, 4CHANNEL, LENGTH=500MR</t>
  </si>
  <si>
    <t>T3.FE</t>
  </si>
  <si>
    <t>GPS DISCIPLINED RUBIDIUM OSCILLATOR, SECURESINC 1200-053</t>
  </si>
  <si>
    <t>LL.ZT / T3.ZT</t>
  </si>
  <si>
    <t>SPECTRUM ANALYZER, HANDHELD, 8.5 GHZ</t>
  </si>
  <si>
    <t>PS.05 / SA.ZT / T3.ZT / UL.ZT</t>
  </si>
  <si>
    <t>POWER SENSOR, 10MHZ – 18GHZ</t>
  </si>
  <si>
    <t>MS.ZT / PS.08 / SA.TE / SA.ZT / T3.ZT / UL.ZT</t>
  </si>
  <si>
    <t>METER, AGILENT E4418B, RF, POWER, PROGRAMMABLE</t>
  </si>
  <si>
    <t>BM.XX / HW.IS / IP.XX</t>
  </si>
  <si>
    <t>TESTER, SMART CLASS ETHERNET, KIT, OPTICAL AND ELECTRICAL</t>
  </si>
  <si>
    <t>TESTER, WAN</t>
  </si>
  <si>
    <t>METER, SCHNEIDER S6200R1A0C0A0A0P, AC, POWER, ENHANCED II</t>
  </si>
  <si>
    <t>MULTIMETER, FLUKE 28 II, TRMS, 1000V, 50OHM</t>
  </si>
  <si>
    <t>HW.AF / MS.XX / SA.XX / SA.ZT / T3.ZT / VS.XX</t>
  </si>
  <si>
    <t>ATTENUATOR, RF, FIXED, 50MHZ, 30DB, 50OHM, KEYSIGHT 11708A</t>
  </si>
  <si>
    <t>ATTENUATOR, RF, FIXED, DC-18GHZ, 10DB, 50OHM, N TYPE</t>
  </si>
  <si>
    <t>ATTENUATOR, RF, FIXED, DC-18GHZ, 20DB, 50OHM, N TYPE</t>
  </si>
  <si>
    <t>ATTENUATOR, RF, FIXED, DC-18GHZ, 3DB, 50OHM, N TYPE</t>
  </si>
  <si>
    <t>ATTENUATOR, RF, FIXED, DC-18GHZ, 6DB, 50OHM, N TYPE</t>
  </si>
  <si>
    <t>COVER, PROTECTIVE, TOP, TSGT T2</t>
  </si>
  <si>
    <t>SHIELD, SOLAR, WITH STORAGE BAG AND STAKES, TSGT T2/3, GLOBECOMM SYSTEMS 10537-02704</t>
  </si>
  <si>
    <t>CASE, TRANSPORT, 950X690X480MM, FOR ZARGES K470, ALLUMINIUM</t>
  </si>
  <si>
    <t>OLPX</t>
  </si>
  <si>
    <t>OLPX 60-15956 608</t>
  </si>
  <si>
    <t>ASSEMBLY, ELECTRONICS, 4 BAY, RIGHT SIDE, TSGT - SUP</t>
  </si>
  <si>
    <t>OLPX 10-11381 101</t>
  </si>
  <si>
    <t>ASSEMBLY, ELECTRONIC COMPONENT, 3 BAY, GLOBECOMM 10537-05007-002 - SUP</t>
  </si>
  <si>
    <t>MODULE, EQUALIZER, L BAND, AMPLITUDE/SLOPE EQUALIZER - SUP</t>
  </si>
  <si>
    <t>ASSEMBLY, PANEL, FRONT, RF MONITOR TEST - SUP</t>
  </si>
  <si>
    <t>SHIELD, PIM, T-2, UPPER, GLOBECOMM SYSTEMS 10537-05076</t>
  </si>
  <si>
    <t>T3.AS</t>
  </si>
  <si>
    <t>MOTOR, ELEVATION, 2.4M</t>
  </si>
  <si>
    <t>LL.CO / LS.CO / T3.BE</t>
  </si>
  <si>
    <t>MODULE, MULTIPLEXER, E3, 1 PORT - SUP</t>
  </si>
  <si>
    <t>CG.RT / HW.AF / PA.RT / RT.CI</t>
  </si>
  <si>
    <t>MODULE, ADAPTER, SHARED PORT, CISCO SPA-4XT-SERIAL, 4 PORT</t>
  </si>
  <si>
    <t>MODULE, NETWORK, 2 PORT, RJ45 - EOL</t>
  </si>
  <si>
    <t>MODULE, NETWORK, DATA, 2 PORT, 10/100BASET, RS530 - EOL</t>
  </si>
  <si>
    <t>PATCHCORD,SM,2-CH,S900, 250M, W/REEL</t>
  </si>
  <si>
    <t>AY</t>
  </si>
  <si>
    <t>PATCHCORD, HXMA-S900X2, SM, 4CHANNEL, LENGHT=1M</t>
  </si>
  <si>
    <t>ASSEMBLY, GPS, NETWORK, PLATE - SUP</t>
  </si>
  <si>
    <t>OLPX 60-15032 608</t>
  </si>
  <si>
    <t>SA.EM</t>
  </si>
  <si>
    <t>WORKSTATION, THALES 63308137AA, RM - SUP</t>
  </si>
  <si>
    <t>CHASSIS, DXC-10A, UTP PORT, RM, 1U - EOL</t>
  </si>
  <si>
    <t>ROUTER, CISCO ASR1001-X, 6X PORT SFP, 2X PORT SFP+, RM, 19", 1U</t>
  </si>
  <si>
    <t>COMPASS, DONGLE 10</t>
  </si>
  <si>
    <t>OTAX</t>
  </si>
  <si>
    <t>OTAX 60-15956 608</t>
  </si>
  <si>
    <t>CIRCUIT CARD ASSEMBLY, FOR T1</t>
  </si>
  <si>
    <t>SWITCHING SYSTEM, REDUNDANT LNA, X-BAND, TSGT</t>
  </si>
  <si>
    <t>FEED, 4.6M ANTENNA, T1, TSGT - SUP</t>
  </si>
  <si>
    <t>ANTENNA, GLOBECOMM, TRI-FOLD, 4.6MR, T1, TSGT</t>
  </si>
  <si>
    <t>TRAILER, SUBASSEMBLY</t>
  </si>
  <si>
    <t>T3.AE / T3.TT</t>
  </si>
  <si>
    <t>PDU, FOR 4.6M ANTENNA, T1, TSGT</t>
  </si>
  <si>
    <t>TRAILER, BASE, FOR 4.6M ANTENNA, T1, TSGT</t>
  </si>
  <si>
    <t>T3.TT / T3.XX</t>
  </si>
  <si>
    <t>MOTOR, ASSEMBLY, ELEVATION, 4.6M - SUP</t>
  </si>
  <si>
    <t>MOTOR, 0.75KW,  ELECTRIC, THREE PHASE ELECTRIC MOTOR</t>
  </si>
  <si>
    <t>CABLE ASSEMBLY, EL, T1-T2, HARNESS, INTERFACE SIGNAL</t>
  </si>
  <si>
    <t>CABLE ASSEMBLY, EL, T1-T2, HARNESS, INTERFACE AC</t>
  </si>
  <si>
    <t>CABLE ASSEMBLY, EL, PMU, LENGTH=50FT</t>
  </si>
  <si>
    <t>T3.TE / T3.TT</t>
  </si>
  <si>
    <t>T2.RE / T3.ZH</t>
  </si>
  <si>
    <t>RF SWITCH, DUAL</t>
  </si>
  <si>
    <t>SA.AE</t>
  </si>
  <si>
    <t>ANTENNA, SUBASSEMBLY</t>
  </si>
  <si>
    <t>OTPX</t>
  </si>
  <si>
    <t>OTPX 60-15956 608</t>
  </si>
  <si>
    <t>2</t>
  </si>
  <si>
    <t>3</t>
  </si>
  <si>
    <t>4</t>
  </si>
  <si>
    <t>5</t>
  </si>
  <si>
    <t>6</t>
  </si>
  <si>
    <t>7</t>
  </si>
  <si>
    <t>8</t>
  </si>
  <si>
    <t>List #</t>
  </si>
  <si>
    <t>DAC</t>
  </si>
  <si>
    <t>DCIS</t>
  </si>
  <si>
    <t>Received from NATO</t>
  </si>
  <si>
    <t>Returned from Globecomm</t>
  </si>
  <si>
    <t>Type</t>
  </si>
  <si>
    <t>Location and Notes</t>
  </si>
  <si>
    <t>Ref Des</t>
  </si>
  <si>
    <t>GSI
CI
(Y/N)</t>
  </si>
  <si>
    <t>CLIN</t>
  </si>
  <si>
    <t xml:space="preserve">NSN </t>
  </si>
  <si>
    <t>Nomenclature (mandatory)</t>
  </si>
  <si>
    <t>EQRE (XB/ND)  mandatory</t>
  </si>
  <si>
    <t>True Manufacturer  Part Number (mandatory)</t>
  </si>
  <si>
    <t>True Manufacturer  Code (mandatory)</t>
  </si>
  <si>
    <t>Vendor/Contractor Code (mandatory)</t>
  </si>
  <si>
    <t>Vendor/Contractor Part Number (mandatory)</t>
  </si>
  <si>
    <t>QTY (m)</t>
  </si>
  <si>
    <t>Order Unit (m)</t>
  </si>
  <si>
    <t>Serialized Item (mandatory)</t>
  </si>
  <si>
    <t>Serial Number (mandatory)</t>
  </si>
  <si>
    <t xml:space="preserve">Serial Number Software Revision Level 
</t>
  </si>
  <si>
    <t xml:space="preserve">Serial Number Hardware Revision Level
</t>
  </si>
  <si>
    <t xml:space="preserve">Other Serial Number attributes </t>
  </si>
  <si>
    <t xml:space="preserve">Subject to Property Accounting </t>
  </si>
  <si>
    <t>Currency (mandatory)</t>
  </si>
  <si>
    <t>Unit Price (mandatory)</t>
  </si>
  <si>
    <t>Warranty Expiration Date</t>
  </si>
  <si>
    <t xml:space="preserve">Receiving / Inspection Depot  </t>
  </si>
  <si>
    <t>Issue to customer</t>
  </si>
  <si>
    <t xml:space="preserve">Extended Line Item Description   </t>
  </si>
  <si>
    <t>Part Number of Next Higher Assembly</t>
  </si>
  <si>
    <t>Qty in Next Higher Assy</t>
  </si>
  <si>
    <t>X</t>
  </si>
  <si>
    <t>Not part of dismounted system</t>
  </si>
  <si>
    <t>PMV</t>
  </si>
  <si>
    <t>Y</t>
  </si>
  <si>
    <t>PRIMARY MILITARY VEHICLE (PMV)</t>
  </si>
  <si>
    <t>ND</t>
  </si>
  <si>
    <t>SLBGC1</t>
  </si>
  <si>
    <t>F6573</t>
  </si>
  <si>
    <t>02MQ7</t>
  </si>
  <si>
    <t>10537-02101</t>
  </si>
  <si>
    <t>11008-05000</t>
  </si>
  <si>
    <t>T2</t>
  </si>
  <si>
    <t>CONTAINER ASSEMBLY, T2, 2.4M VEHICLE MOUNTED, X-BAND, NATO TSGT, DAC DSO</t>
  </si>
  <si>
    <t>11137-05005-001</t>
  </si>
  <si>
    <t>REV A</t>
  </si>
  <si>
    <t>USD</t>
  </si>
  <si>
    <t>NSP (Not Separately Priced)</t>
  </si>
  <si>
    <t>FSA + 12 Months</t>
  </si>
  <si>
    <t>CONTAINER ASSEMBLY, T2, 2.4M VEHICLE MOUNTED, X-BAND, NATO TSGT, DCIS DSO</t>
  </si>
  <si>
    <t>11137-05005-002</t>
  </si>
  <si>
    <t>PADLOCK, 10 EA. 10 KEY</t>
  </si>
  <si>
    <t>PL 330/25N</t>
  </si>
  <si>
    <t>0LKJ5</t>
  </si>
  <si>
    <t>NFE</t>
  </si>
  <si>
    <t>on skid, one has ethernet cabling</t>
  </si>
  <si>
    <t>T2A1</t>
  </si>
  <si>
    <t>ASSEMBLY, CABLE, FO, SM, 4-CH, HMA PLUG, 250M W/REEL</t>
  </si>
  <si>
    <t>731-00405-00</t>
  </si>
  <si>
    <t>10537-05000-001</t>
  </si>
  <si>
    <t>on skid</t>
  </si>
  <si>
    <t>NEW</t>
  </si>
  <si>
    <t>DAC Only</t>
  </si>
  <si>
    <t>11008-05048-001</t>
  </si>
  <si>
    <t>Mounted on support Frame</t>
  </si>
  <si>
    <t>5985SB0001894</t>
  </si>
  <si>
    <t>ANTENNA, 2.4M, X-BAND, LOW PIM</t>
  </si>
  <si>
    <t>047494-01</t>
  </si>
  <si>
    <t>1GD22</t>
  </si>
  <si>
    <t>11137-05005-001/-002</t>
  </si>
  <si>
    <t>part of antenna</t>
  </si>
  <si>
    <t>T2A1a</t>
  </si>
  <si>
    <t>5985SB0001898</t>
  </si>
  <si>
    <t>FEED, X-BAND, LOW PIM, 2.4M</t>
  </si>
  <si>
    <t>047721-03</t>
  </si>
  <si>
    <t>T2A1b</t>
  </si>
  <si>
    <t>FEEDBOOM ASSEMBLY</t>
  </si>
  <si>
    <t>10537-05080</t>
  </si>
  <si>
    <t>REV B</t>
  </si>
  <si>
    <t>T2A1c</t>
  </si>
  <si>
    <t>5985SB0002507</t>
  </si>
  <si>
    <t>2.4M ANTENNA LNA PLATE</t>
  </si>
  <si>
    <t>12719-301</t>
  </si>
  <si>
    <t>0BFK7</t>
  </si>
  <si>
    <t>T2A1d</t>
  </si>
  <si>
    <t>5985SB0002508</t>
  </si>
  <si>
    <t>2.4M ANTENNA TRANSMIT RF PLATE</t>
  </si>
  <si>
    <t>12721-101</t>
  </si>
  <si>
    <t>On top of container</t>
  </si>
  <si>
    <t>5985SB0017092</t>
  </si>
  <si>
    <t xml:space="preserve">SHIELD, PIM, T-2, UPPER </t>
  </si>
  <si>
    <t>10537-06076</t>
  </si>
  <si>
    <t>10537-05008</t>
  </si>
  <si>
    <t>N</t>
  </si>
  <si>
    <t>N/A</t>
  </si>
  <si>
    <t>REV 1</t>
  </si>
  <si>
    <t>5985SB0002987</t>
  </si>
  <si>
    <t>SHIELD, PIM, T-2, LOWER</t>
  </si>
  <si>
    <t>10537-06077</t>
  </si>
  <si>
    <t>10537-05009</t>
  </si>
  <si>
    <t>under PIM sheild</t>
  </si>
  <si>
    <t>T2A1A1A2</t>
  </si>
  <si>
    <t>5996SB0001968</t>
  </si>
  <si>
    <t>AMPLIFIER, POWER, SOLID STATE, X-BAND, 250W</t>
  </si>
  <si>
    <t>L207155-1</t>
  </si>
  <si>
    <t>1GLV3</t>
  </si>
  <si>
    <t>10537-08016</t>
  </si>
  <si>
    <t>Firmware Version .412</t>
  </si>
  <si>
    <t>T2A1A1A3</t>
  </si>
  <si>
    <t>SSPA A Waveguide Switch, under PIM shield</t>
  </si>
  <si>
    <t>T2A1A1SSPAS1</t>
  </si>
  <si>
    <t>WAVEGUIDE SWITCH, WR-112</t>
  </si>
  <si>
    <t>SMHN-1671</t>
  </si>
  <si>
    <t>SSPA B Waveguide Switch, under PIM shield</t>
  </si>
  <si>
    <t>T2A1A1SSPAS2</t>
  </si>
  <si>
    <t>Combiner Output Switch, under PIM shield</t>
  </si>
  <si>
    <t>T2A1A1SSPAS3</t>
  </si>
  <si>
    <t>end of boom next to feed horn</t>
  </si>
  <si>
    <t>T2A1A1A4</t>
  </si>
  <si>
    <t>5996SB0003306</t>
  </si>
  <si>
    <t>X-BAND LNA, 45K, 50 dB</t>
  </si>
  <si>
    <t>L207154-1</t>
  </si>
  <si>
    <t>T2A1A1A5</t>
  </si>
  <si>
    <t>T2A1A1LNAS1</t>
  </si>
  <si>
    <t>DUAL WAVEGUIDE / COAXIAL SWITCH</t>
  </si>
  <si>
    <t>SMHN-1672</t>
  </si>
  <si>
    <t>T2A2A6</t>
  </si>
  <si>
    <t>5975SB0018939</t>
  </si>
  <si>
    <t>CONTROL, DISPLAY, ECU</t>
  </si>
  <si>
    <t>0NJ18</t>
  </si>
  <si>
    <t>5895SB0017764</t>
  </si>
  <si>
    <t>CONTROL, LOGIC, ECU</t>
  </si>
  <si>
    <t>RQ14ECK-VFD-14</t>
  </si>
  <si>
    <t>streetside external dirty power panel, left side</t>
  </si>
  <si>
    <t>T2A3A2</t>
  </si>
  <si>
    <t>6625SB0004289</t>
  </si>
  <si>
    <t>METER, AC, POWER, ENHANCED I</t>
  </si>
  <si>
    <t>S6200R1A0C0A0A0P</t>
  </si>
  <si>
    <t>KC2A7</t>
  </si>
  <si>
    <t>T2A4A1</t>
  </si>
  <si>
    <t>S-ETB TEST PANEL</t>
  </si>
  <si>
    <t>11008-05104</t>
  </si>
  <si>
    <t>in outdoor ETB</t>
  </si>
  <si>
    <t>T2A4A2</t>
  </si>
  <si>
    <t>S-ETB L-BAND INTERFACE PANEL</t>
  </si>
  <si>
    <t>10537-06004</t>
  </si>
  <si>
    <t>T2A4A3</t>
  </si>
  <si>
    <t>PANEL, S-ETB, FIBER OPTIC INTERFACE, 3 POSITION</t>
  </si>
  <si>
    <t>10537-06002-001</t>
  </si>
  <si>
    <t>T2A4A3a</t>
  </si>
  <si>
    <t>CONNECTOR, BULKHEAD, HMA,  4-CH, SM</t>
  </si>
  <si>
    <t>732-00357-00</t>
  </si>
  <si>
    <t>T2A4A3b</t>
  </si>
  <si>
    <t>T2A4A3c</t>
  </si>
  <si>
    <t>T2A4A4</t>
  </si>
  <si>
    <t>5975SB0003443</t>
  </si>
  <si>
    <t>S-ETB, PGS GENERATOR INTERFACE PANEL</t>
  </si>
  <si>
    <t>10537-05029</t>
  </si>
  <si>
    <t>REV D</t>
  </si>
  <si>
    <t>T2A4A5</t>
  </si>
  <si>
    <t>5975SB0003393</t>
  </si>
  <si>
    <t>S-ETB, T1 INTERFACE PANEL</t>
  </si>
  <si>
    <t>10537-05031</t>
  </si>
  <si>
    <t>mounted to outdoor ETB</t>
  </si>
  <si>
    <t>T2A5</t>
  </si>
  <si>
    <t>6625SB0003458</t>
  </si>
  <si>
    <t>SONIMOMETER/GPS MAST ASSY</t>
  </si>
  <si>
    <t>10537-05013</t>
  </si>
  <si>
    <t>T2A5A1</t>
  </si>
  <si>
    <t>GPS ANTENNA</t>
  </si>
  <si>
    <t>XB</t>
  </si>
  <si>
    <t>VIC-100</t>
  </si>
  <si>
    <t xml:space="preserve">under rack 2&amp;3 </t>
  </si>
  <si>
    <t>T2A6</t>
  </si>
  <si>
    <t>FORWARD BULKHEAD SIGNAL FILTER ASSEMBLY</t>
  </si>
  <si>
    <t>10537-05050</t>
  </si>
  <si>
    <t xml:space="preserve">center aisle forward wall, 
</t>
  </si>
  <si>
    <t>T2A6a</t>
  </si>
  <si>
    <t>4.1 / 9.1</t>
  </si>
  <si>
    <t>ETHERNET SWITCH, GBE, 8 PORT</t>
  </si>
  <si>
    <t>IE-2000-8-TCL</t>
  </si>
  <si>
    <t>1WXV7</t>
  </si>
  <si>
    <t>FD02244J1G4</t>
  </si>
  <si>
    <t>T2A6b</t>
  </si>
  <si>
    <t>FD02242J60K</t>
  </si>
  <si>
    <t>T2A6c</t>
  </si>
  <si>
    <t>FD02245J04L</t>
  </si>
  <si>
    <t>CURTAIN, SOLID BARRIER, LEFT SIDE (SCD)</t>
  </si>
  <si>
    <t>14470-399-002-106</t>
  </si>
  <si>
    <t>CURTAIN, NETTING, RIGHT SIDE (SCD)</t>
  </si>
  <si>
    <t>14470-399-002-105</t>
  </si>
  <si>
    <t>next to BUC/BDCs</t>
  </si>
  <si>
    <t>T2A13</t>
  </si>
  <si>
    <t>4.11 / 9.11</t>
  </si>
  <si>
    <t>DC CONVERTER ASSEMBLY</t>
  </si>
  <si>
    <t>11008-05067</t>
  </si>
  <si>
    <t>DC/DC CONVERTER COMBINER</t>
  </si>
  <si>
    <t>01-000703</t>
  </si>
  <si>
    <t>1</t>
  </si>
  <si>
    <t>REV 3</t>
  </si>
  <si>
    <t>T2A13A1, A2</t>
  </si>
  <si>
    <t>DC/DC CONVERTER</t>
  </si>
  <si>
    <t>01-000702</t>
  </si>
  <si>
    <t>REV 2</t>
  </si>
  <si>
    <t>T2A15</t>
  </si>
  <si>
    <t>GPS NETWORK ASSEMBLY</t>
  </si>
  <si>
    <t>11137-05059</t>
  </si>
  <si>
    <t>T2A15A1</t>
  </si>
  <si>
    <t>TFRS GPS ANTENNA SPLITTER</t>
  </si>
  <si>
    <t>LDCBS1X2-N</t>
  </si>
  <si>
    <t>1MGN7</t>
  </si>
  <si>
    <t>T2A15A2</t>
  </si>
  <si>
    <t>ACU GPS ANTENNA SPLITTER</t>
  </si>
  <si>
    <t>NLDCBS1X2N5MC</t>
  </si>
  <si>
    <t>center aisle curb/right side</t>
  </si>
  <si>
    <t>T2A15A3</t>
  </si>
  <si>
    <t>DATA AQUISTION MODULE - TEMPERATURE</t>
  </si>
  <si>
    <t>ADAM-6015</t>
  </si>
  <si>
    <t>1Q874</t>
  </si>
  <si>
    <t>T2A15A4</t>
  </si>
  <si>
    <t>DATA AQUISTION MODULE - ECU ALARMS</t>
  </si>
  <si>
    <t>ADAM-6050</t>
  </si>
  <si>
    <t>T2A17</t>
  </si>
  <si>
    <t>4120SB0002549</t>
  </si>
  <si>
    <t>CONDENSER, ASSEMBLY, ECU</t>
  </si>
  <si>
    <t>14470-346C-001</t>
  </si>
  <si>
    <t>T2A18</t>
  </si>
  <si>
    <t>T2A19</t>
  </si>
  <si>
    <t>T2A20</t>
  </si>
  <si>
    <t>4130SB0002679</t>
  </si>
  <si>
    <t>EVAPORATOR, ASSEMBLY, ECU</t>
  </si>
  <si>
    <t>14470-346E-001</t>
  </si>
  <si>
    <t>T2A21</t>
  </si>
  <si>
    <t>T2A22</t>
  </si>
  <si>
    <t>below rack 6</t>
  </si>
  <si>
    <t>T2A7A1</t>
  </si>
  <si>
    <t>4440SB0003011</t>
  </si>
  <si>
    <t>DEHYDRATOR</t>
  </si>
  <si>
    <t>0F960</t>
  </si>
  <si>
    <t>10537-08009</t>
  </si>
  <si>
    <t>Firmware Version NCTEST8-2-3</t>
  </si>
  <si>
    <t>below racks 1&amp;2</t>
  </si>
  <si>
    <t>T2A7A2</t>
  </si>
  <si>
    <t>BATTERY, AGM, STORAGE, 12VDC, 92A</t>
  </si>
  <si>
    <t>M12V90FT</t>
  </si>
  <si>
    <t>3GEJ2</t>
  </si>
  <si>
    <t>T2A7A3</t>
  </si>
  <si>
    <t>MONITOR, PRESSURE, DIGITAL</t>
  </si>
  <si>
    <t>A4111-03</t>
  </si>
  <si>
    <t>SENSOCON</t>
  </si>
  <si>
    <t>T2A7A5</t>
  </si>
  <si>
    <t>4130SB0003615</t>
  </si>
  <si>
    <t>ALTERED ITEM, VFD (A)</t>
  </si>
  <si>
    <t>ATV311HU55N4</t>
  </si>
  <si>
    <t>T2A7A6</t>
  </si>
  <si>
    <t>ALTERED ITEM, VFD (B)</t>
  </si>
  <si>
    <t>T2A7A7</t>
  </si>
  <si>
    <t>ALTERED ITEM, VFD (C)</t>
  </si>
  <si>
    <t>T2A8T1</t>
  </si>
  <si>
    <t>Isolation Transformer</t>
  </si>
  <si>
    <t>T2A8A1</t>
  </si>
  <si>
    <t>Junction Box</t>
  </si>
  <si>
    <t>T2A9A1</t>
  </si>
  <si>
    <t>GENERAL PURPOSE FILTRATION UNIT</t>
  </si>
  <si>
    <t>027-589</t>
  </si>
  <si>
    <t>3G8X7</t>
  </si>
  <si>
    <t>11008-05122</t>
  </si>
  <si>
    <t>T2A9A2</t>
  </si>
  <si>
    <t>CARBON FILTER</t>
  </si>
  <si>
    <t>ASR-100-CA</t>
  </si>
  <si>
    <t>T2A9A3</t>
  </si>
  <si>
    <t>HEPA FILTER</t>
  </si>
  <si>
    <t>ASR-100-HA</t>
  </si>
  <si>
    <t>T2A9a</t>
  </si>
  <si>
    <t>Course Filter</t>
  </si>
  <si>
    <t>11137-05006-001</t>
  </si>
  <si>
    <t>T2A9b</t>
  </si>
  <si>
    <t>Fine filter</t>
  </si>
  <si>
    <t>T2R</t>
  </si>
  <si>
    <t>ELECTRONICS ASSEMBLY, T2, 4 BAY, TSGT, DAC DSO</t>
  </si>
  <si>
    <t>left rack assy in class room (DCIS)</t>
  </si>
  <si>
    <t>ELECTRONICS ASSEMBLY, T2, 4 BAY, TSGT, DCIS DSO</t>
  </si>
  <si>
    <t>11137-05006-002</t>
  </si>
  <si>
    <t>BUC A, 2.4M</t>
  </si>
  <si>
    <t>T2R1A1A1</t>
  </si>
  <si>
    <t>5895SB0002742</t>
  </si>
  <si>
    <t>CONVERTER, BLOCK, UP</t>
  </si>
  <si>
    <t>174991-22</t>
  </si>
  <si>
    <t>11137-05006-001/-002</t>
  </si>
  <si>
    <t>BUC A/B 1:1 Switch 2.4M</t>
  </si>
  <si>
    <t>T2R1A1A2</t>
  </si>
  <si>
    <t>5895SB0003672</t>
  </si>
  <si>
    <t>SWITCH, REDUNDANCY, 1:1</t>
  </si>
  <si>
    <t>161105-1</t>
  </si>
  <si>
    <t>BUC B, 2.4M</t>
  </si>
  <si>
    <t>T2R1A1A3</t>
  </si>
  <si>
    <t>BDC A, 2.4M</t>
  </si>
  <si>
    <t>T2R1A2A1</t>
  </si>
  <si>
    <t>5895SB0002757</t>
  </si>
  <si>
    <t>CONVERTER, BLOCK, DOWN</t>
  </si>
  <si>
    <t>174992-49</t>
  </si>
  <si>
    <t>BDC A/B 1:1 Switch 2.4M</t>
  </si>
  <si>
    <t>T2R1A2A2</t>
  </si>
  <si>
    <t>BDC B, 2.4M</t>
  </si>
  <si>
    <t>T2R1A2A3</t>
  </si>
  <si>
    <t>BUC A, 4.6M</t>
  </si>
  <si>
    <t>T2R1A3A1</t>
  </si>
  <si>
    <t>4.3 / 9.3</t>
  </si>
  <si>
    <t>208443-87</t>
  </si>
  <si>
    <t>208 6708</t>
  </si>
  <si>
    <t>BUC A/B 1:1 Switch 4.6M</t>
  </si>
  <si>
    <t>T2R1A3A2</t>
  </si>
  <si>
    <t>208 3666</t>
  </si>
  <si>
    <t>BUC B, 4.6M</t>
  </si>
  <si>
    <t>T2R1A3A3</t>
  </si>
  <si>
    <t>208 2789</t>
  </si>
  <si>
    <t>BDC A, 4.6M</t>
  </si>
  <si>
    <t>T2R1A4A1</t>
  </si>
  <si>
    <t>4.4 / 9.4</t>
  </si>
  <si>
    <t>205578-134</t>
  </si>
  <si>
    <t>208 6612</t>
  </si>
  <si>
    <t>BDC A/B 1:1 Switch 4.6M</t>
  </si>
  <si>
    <t>T2R1A4A2</t>
  </si>
  <si>
    <t>207 6924</t>
  </si>
  <si>
    <t>BDC B, 4.6M</t>
  </si>
  <si>
    <t>T2R1A4A3</t>
  </si>
  <si>
    <t>208 3433</t>
  </si>
  <si>
    <t>T2R1A5</t>
  </si>
  <si>
    <t>ROUTER, BASE CHASSIS, DUAL AC SUPPLY</t>
  </si>
  <si>
    <t>ASR-1001-X</t>
  </si>
  <si>
    <t>T2R1A5a</t>
  </si>
  <si>
    <t>4 PORT SERIAL ADAPTER</t>
  </si>
  <si>
    <t>SPA-4XT-SERIAL</t>
  </si>
  <si>
    <t>T2R1A5b</t>
  </si>
  <si>
    <t>GbE SFP, LC CONNECTOR, SM TRANSCEIVER</t>
  </si>
  <si>
    <t>30-1299-02</t>
  </si>
  <si>
    <t>T2R1A5c</t>
  </si>
  <si>
    <t>GE SFP, RJ45</t>
  </si>
  <si>
    <t>30-1421-01</t>
  </si>
  <si>
    <t>T2R1A5d</t>
  </si>
  <si>
    <t>T2R1A5e</t>
  </si>
  <si>
    <t>T2R1A6</t>
  </si>
  <si>
    <t>T2R1A6a</t>
  </si>
  <si>
    <t>T2R1A6b</t>
  </si>
  <si>
    <t>T2R1A6c</t>
  </si>
  <si>
    <t>T2R1A6d</t>
  </si>
  <si>
    <t>T2R1A6e</t>
  </si>
  <si>
    <t>DCIS router, Cisco 7301</t>
  </si>
  <si>
    <t>CISCO 7301 ROUTER, BASE CHASSIS, DUAL AC SUPPLY</t>
  </si>
  <si>
    <t>800-217-54-12D0</t>
  </si>
  <si>
    <t>4 port adapter, Fast Serial Enhanced, slot 1</t>
  </si>
  <si>
    <t>800-01838-07-J0</t>
  </si>
  <si>
    <t>Fiber SFP located in
Gigabit Ethernet 0/1, port GBIC</t>
  </si>
  <si>
    <t>AGC1320U6PG</t>
  </si>
  <si>
    <t>CISCO 7301ROUTER, BASE CHASSIS, DUAL AC SUPPLY</t>
  </si>
  <si>
    <t>AGC1321U9L1</t>
  </si>
  <si>
    <t>Replaced old panel</t>
  </si>
  <si>
    <t>T2R1A7</t>
  </si>
  <si>
    <t>BASEBAND / FIBER OPTIC PATCH PANEL ASSY</t>
  </si>
  <si>
    <t>11008-05032</t>
  </si>
  <si>
    <t>Storage Drawer</t>
  </si>
  <si>
    <t>T2R1A10</t>
  </si>
  <si>
    <t>STORAGE DRAWER</t>
  </si>
  <si>
    <t>10537-02708</t>
  </si>
  <si>
    <t>DXC-10 RAD CHASSIS ASSEMBLY</t>
  </si>
  <si>
    <t>10537-05047</t>
  </si>
  <si>
    <t>11008-05047</t>
  </si>
  <si>
    <t>T2R1A10a</t>
  </si>
  <si>
    <t>7035SB0017000</t>
  </si>
  <si>
    <t>DXC-10A AC 1U CHASSIS W/POWER SUPPLY, DCL.3</t>
  </si>
  <si>
    <t>T2R1A10b</t>
  </si>
  <si>
    <t>5998SB0003444</t>
  </si>
  <si>
    <t>DXC FIBRE OPTIC MODULE, E3</t>
  </si>
  <si>
    <t>T2R1A10c</t>
  </si>
  <si>
    <t>5998SB0005932</t>
  </si>
  <si>
    <t>DXC-M/HS/530, 2-PORT HS, RS-530</t>
  </si>
  <si>
    <t>T2R1A10d</t>
  </si>
  <si>
    <t>T2R1A11</t>
  </si>
  <si>
    <t>T2R1A11a</t>
  </si>
  <si>
    <t>T2R1A11b</t>
  </si>
  <si>
    <t>T2R1A11c</t>
  </si>
  <si>
    <t>T2R1A11d</t>
  </si>
  <si>
    <t>RF Coupler Assembly</t>
  </si>
  <si>
    <t>T2R1A13</t>
  </si>
  <si>
    <t>SHELF ASSEMBLY, COUPLER / DIVIDER</t>
  </si>
  <si>
    <t>11008-05027</t>
  </si>
  <si>
    <t>Viasat</t>
  </si>
  <si>
    <t>T2R2A1</t>
  </si>
  <si>
    <t>MODEM, EBEM  w/ESEM</t>
  </si>
  <si>
    <t>2U761</t>
  </si>
  <si>
    <t>T2R2A2</t>
  </si>
  <si>
    <t>T2R2A3</t>
  </si>
  <si>
    <t>T2R2A4</t>
  </si>
  <si>
    <t>T2R2A5</t>
  </si>
  <si>
    <t>Uplink L-Band Patch Panel</t>
  </si>
  <si>
    <t>T2R2A6</t>
  </si>
  <si>
    <t>4.6 / 9.6</t>
  </si>
  <si>
    <t xml:space="preserve">ASSEMBLY, UPLINK L-BAND PATCH </t>
  </si>
  <si>
    <t>11008-05022</t>
  </si>
  <si>
    <t>1004408</t>
  </si>
  <si>
    <t>2 inside Uplink L-Band Patch Panel, 2 inside Downlink Patch Panel</t>
  </si>
  <si>
    <t>T2R2A6a</t>
  </si>
  <si>
    <t>FAN WITH CONNECTOR ASSEMBLY</t>
  </si>
  <si>
    <t>11008-05043</t>
  </si>
  <si>
    <t>inside Uplink L-Band Patch Panel</t>
  </si>
  <si>
    <t>T2R2A6b</t>
  </si>
  <si>
    <t>CONTROLLER PCB ASSEMBLY</t>
  </si>
  <si>
    <t>01-000699</t>
  </si>
  <si>
    <t>T2R2A6c</t>
  </si>
  <si>
    <t>L-BAND AMPLITUDE / SLOPE EQUALIZER MODULE (2.4m)</t>
  </si>
  <si>
    <t>5GZQ1</t>
  </si>
  <si>
    <t>700 005 451</t>
  </si>
  <si>
    <t>T2R2A6d</t>
  </si>
  <si>
    <t>L-BAND AMPLITUDE / SLOPE EQUALIZER MODULE (4.6m)</t>
  </si>
  <si>
    <t>T2R2A6e</t>
  </si>
  <si>
    <t>PCB ASSEMBLY, X-BAND TX LINE AMP POWER SUPPLY</t>
  </si>
  <si>
    <t>01-000511</t>
  </si>
  <si>
    <t>T2R2A6f</t>
  </si>
  <si>
    <t>Downlink L-Band Patch Panel</t>
  </si>
  <si>
    <t>T2R2A9</t>
  </si>
  <si>
    <t>ASSEMBLY, DOWNLINK L-BAND PATCH &amp; LINE DRIVE AMPLIFIER</t>
  </si>
  <si>
    <t>11008-05021</t>
  </si>
  <si>
    <t>1004403</t>
  </si>
  <si>
    <t>inside Downlink L-Band Patch Panel</t>
  </si>
  <si>
    <t>T2R2A9a</t>
  </si>
  <si>
    <t>ASSEMBLY MODULE, LINEAR POWER AMPLIFIER</t>
  </si>
  <si>
    <t>11008-05025</t>
  </si>
  <si>
    <t>T2R2A9b</t>
  </si>
  <si>
    <t>T2R2A9c</t>
  </si>
  <si>
    <t>T2R2A9d</t>
  </si>
  <si>
    <t>PCB ASSEMBLY, RX CHASSIS POWER DISTRIBUTION BD</t>
  </si>
  <si>
    <t>01-000704</t>
  </si>
  <si>
    <t>T2R2A9e</t>
  </si>
  <si>
    <t>T2R2A9f</t>
  </si>
  <si>
    <t>PFE</t>
  </si>
  <si>
    <t>T2R3A1</t>
  </si>
  <si>
    <t>EMSE Modem</t>
  </si>
  <si>
    <t>T2R3A2</t>
  </si>
  <si>
    <t>T2R3A4</t>
  </si>
  <si>
    <t>T2R3A5</t>
  </si>
  <si>
    <t>Thales EMS</t>
  </si>
  <si>
    <t>T2R3A3</t>
  </si>
  <si>
    <t>EMS Modem Assembly</t>
  </si>
  <si>
    <t>T2R3A10</t>
  </si>
  <si>
    <t>NET IP 1</t>
  </si>
  <si>
    <t>T2R3A11</t>
  </si>
  <si>
    <t>NET IP 2</t>
  </si>
  <si>
    <t>T2R3</t>
  </si>
  <si>
    <t>5999SB0040901</t>
  </si>
  <si>
    <t>MEDIA CONVERTER, MODULE, 10/100MBIT/S</t>
  </si>
  <si>
    <t>HDDF318190-VB</t>
  </si>
  <si>
    <t>SMS-FIT</t>
  </si>
  <si>
    <t>T2R4A1</t>
  </si>
  <si>
    <t>SMS SAT DSP Chassis</t>
  </si>
  <si>
    <t>SMS Server</t>
  </si>
  <si>
    <t>T2R4A3</t>
  </si>
  <si>
    <t>iDirect e8000</t>
  </si>
  <si>
    <t>T2R4A7</t>
  </si>
  <si>
    <t>7035SB0040902</t>
  </si>
  <si>
    <t>ROUTER, SATELLITE, RACK MOUNT, 1U, IDIRECT E8000</t>
  </si>
  <si>
    <t>95005441</t>
  </si>
  <si>
    <t>F5511</t>
  </si>
  <si>
    <t>Cisco 2901 ASNMC Router</t>
  </si>
  <si>
    <t>T2R4A8</t>
  </si>
  <si>
    <t>7035SB0021026</t>
  </si>
  <si>
    <t>ROUTER, CISCO 2901/K9 RACKMOUNT, 6SLOT, 2PORT, 1U</t>
  </si>
  <si>
    <t>CISCO2901/K9</t>
  </si>
  <si>
    <t>0GX96</t>
  </si>
  <si>
    <t>KVM and Pull out Monitor</t>
  </si>
  <si>
    <t>T2R4A9</t>
  </si>
  <si>
    <t>7025SB0040905</t>
  </si>
  <si>
    <t>CONSOLE, REXTRON HKSE-10, RACKMOUNT, 19", 1U, Monitor 17</t>
  </si>
  <si>
    <t>70501088</t>
  </si>
  <si>
    <t>ASNMC LCA</t>
  </si>
  <si>
    <t>T2R4A10</t>
  </si>
  <si>
    <t>7021SB0040903</t>
  </si>
  <si>
    <t>WORKSTATION, RACK MOUNT</t>
  </si>
  <si>
    <t>95005442</t>
  </si>
  <si>
    <t>EMS LMCA Server</t>
  </si>
  <si>
    <t>T2R4A11</t>
  </si>
  <si>
    <t>7021SB0042635</t>
  </si>
  <si>
    <t>95005443</t>
  </si>
  <si>
    <t>Right side rack assy in class room</t>
  </si>
  <si>
    <t>4.7 / 9.7</t>
  </si>
  <si>
    <t>ELECTRONICS ASSEMBLY, 3 BAY, STREET SIDE, T2 CONTAINER, NATO, DCIS</t>
  </si>
  <si>
    <t>11137-05007</t>
  </si>
  <si>
    <t>1004214</t>
  </si>
  <si>
    <t>RF Monitor / Test Panel</t>
  </si>
  <si>
    <t>T2R5A1</t>
  </si>
  <si>
    <t>RF MONITOR &amp; TEST PANEL</t>
  </si>
  <si>
    <t>11008-05011</t>
  </si>
  <si>
    <t>RF Power Meter</t>
  </si>
  <si>
    <t>T2R5A4A1</t>
  </si>
  <si>
    <t>6625SB0003828</t>
  </si>
  <si>
    <t>POWER METER</t>
  </si>
  <si>
    <t>E4418B</t>
  </si>
  <si>
    <t>11008-05012</t>
  </si>
  <si>
    <t>Test Panel</t>
  </si>
  <si>
    <t>T2R5A4A2</t>
  </si>
  <si>
    <t>ASSEMBLY, POWER METER &amp; TLT/TEST</t>
  </si>
  <si>
    <t>Test Loop Translator</t>
  </si>
  <si>
    <t>T2R5A4A3</t>
  </si>
  <si>
    <t>5895SB0002489</t>
  </si>
  <si>
    <t>TEST LOOP TRANSLATOR</t>
  </si>
  <si>
    <t>174995-16</t>
  </si>
  <si>
    <t>ACU 4.6M</t>
  </si>
  <si>
    <t>T2R5A8</t>
  </si>
  <si>
    <t>4.2 / 9.2</t>
  </si>
  <si>
    <t>ANTENNA CONTROL UNIT, 4.6M</t>
  </si>
  <si>
    <t>123T-02-S04-A01</t>
  </si>
  <si>
    <t>0P0N7</t>
  </si>
  <si>
    <t>VCN8061991</t>
  </si>
  <si>
    <t>Rev B</t>
  </si>
  <si>
    <t>ACU 2.4M</t>
  </si>
  <si>
    <t>T2R5A6</t>
  </si>
  <si>
    <t>5985SB0002170</t>
  </si>
  <si>
    <t>ANTENNA CONTROL UNIT, 2.4M</t>
  </si>
  <si>
    <t>99-319-1100-18</t>
  </si>
  <si>
    <t>1.305.1.178.1.2.</t>
  </si>
  <si>
    <t>HPA Switch Controller</t>
  </si>
  <si>
    <t>T2R5A10</t>
  </si>
  <si>
    <t>5895SB0002983</t>
  </si>
  <si>
    <t>HPA SWITCH CONTROLLER</t>
  </si>
  <si>
    <t>12721A-500</t>
  </si>
  <si>
    <t>LNA Switch Controller</t>
  </si>
  <si>
    <t>T2R5A11</t>
  </si>
  <si>
    <t>5895SB0002982</t>
  </si>
  <si>
    <t>LNA SWITCH CONTROLLER</t>
  </si>
  <si>
    <t>12719-500</t>
  </si>
  <si>
    <t>Spectracom</t>
  </si>
  <si>
    <t>T2R6A1</t>
  </si>
  <si>
    <t>6605SB0002421</t>
  </si>
  <si>
    <t xml:space="preserve">NETCLOCK GPS / RUBIDIUM OSC </t>
  </si>
  <si>
    <t>10537-08008</t>
  </si>
  <si>
    <t>Firmware version 3.4.5</t>
  </si>
  <si>
    <t>T2R6A2</t>
  </si>
  <si>
    <t>TFRS 10MHz Distribution</t>
  </si>
  <si>
    <t>T2R6A3</t>
  </si>
  <si>
    <t>5975SB0002678</t>
  </si>
  <si>
    <t>TFRS DISTRIBUTION CHASSIS</t>
  </si>
  <si>
    <t>T2R6A4</t>
  </si>
  <si>
    <t>4.5 / 9.5</t>
  </si>
  <si>
    <t>SPECT 18-00013</t>
  </si>
  <si>
    <t>Software ver 300159 Rev 6
Firmware ver 300124 Rev FO</t>
  </si>
  <si>
    <t>AMP Processor 16 Port</t>
  </si>
  <si>
    <t>T2R6A5</t>
  </si>
  <si>
    <t>4.10 / 9.10</t>
  </si>
  <si>
    <t>AMP MODULE</t>
  </si>
  <si>
    <t>01-000399-002</t>
  </si>
  <si>
    <t>761</t>
  </si>
  <si>
    <t>REV 4</t>
  </si>
  <si>
    <t>not visible, located inside the AMP Processor</t>
  </si>
  <si>
    <t>T2R6A5a</t>
  </si>
  <si>
    <t>AMP GPIO-24/8</t>
  </si>
  <si>
    <t>01-000273-003</t>
  </si>
  <si>
    <t>MACS Interface Panel</t>
  </si>
  <si>
    <t>T2R6A6</t>
  </si>
  <si>
    <t>MACS INTERFACE ASSEMBLY</t>
  </si>
  <si>
    <t>11008-05020</t>
  </si>
  <si>
    <t>MACS Ethernet Switch</t>
  </si>
  <si>
    <t>T2R6A7</t>
  </si>
  <si>
    <t>7035SB0018239</t>
  </si>
  <si>
    <t>ETHERNET SWITCH</t>
  </si>
  <si>
    <t>0P486K</t>
  </si>
  <si>
    <t>1GE11</t>
  </si>
  <si>
    <t>Console Port Interface</t>
  </si>
  <si>
    <t>T2R6A8</t>
  </si>
  <si>
    <t>CONSOLE PORT INTERFACE PANEL ASSEMBLY</t>
  </si>
  <si>
    <t>11137-05051</t>
  </si>
  <si>
    <t>Containier Storage Drawer</t>
  </si>
  <si>
    <t>T2R6A9</t>
  </si>
  <si>
    <t>10537-05065</t>
  </si>
  <si>
    <t>T-2 Antenna PDU</t>
  </si>
  <si>
    <t>T2R7A1</t>
  </si>
  <si>
    <t>5895SB0002255</t>
  </si>
  <si>
    <t>ANTENNA CONTROL, POWER DISTRIBUTION</t>
  </si>
  <si>
    <t>99-370-2700-15</t>
  </si>
  <si>
    <t>Rectifier Chassis 1, upper, 4 bay</t>
  </si>
  <si>
    <t>T2R7A2</t>
  </si>
  <si>
    <t>CHASSIS, RECTIFIER</t>
  </si>
  <si>
    <t>XG1948G</t>
  </si>
  <si>
    <t>0VMZ0</t>
  </si>
  <si>
    <t>11008-08007-001</t>
  </si>
  <si>
    <t>Rectifier 1</t>
  </si>
  <si>
    <t>T2R7A2A1</t>
  </si>
  <si>
    <t>5998SB0039087</t>
  </si>
  <si>
    <t>RECTIFIER PLUG-IN MODULES</t>
  </si>
  <si>
    <t>FMPE30.48G</t>
  </si>
  <si>
    <t>Rectifier 2</t>
  </si>
  <si>
    <t>T2R7A2A2</t>
  </si>
  <si>
    <t>Rectifier 3</t>
  </si>
  <si>
    <t>T2R7A2A3</t>
  </si>
  <si>
    <t>Controller</t>
  </si>
  <si>
    <t>T2R7A2A4</t>
  </si>
  <si>
    <t>5895SB0039086</t>
  </si>
  <si>
    <t>XG-1948 SHELF W/RECTIFIER CONTROLLER</t>
  </si>
  <si>
    <t>11008-08007-002</t>
  </si>
  <si>
    <t>REV 6</t>
  </si>
  <si>
    <t>5730991</t>
  </si>
  <si>
    <t>Extended Controller</t>
  </si>
  <si>
    <t>ACC EXTENDED CONTROLLER</t>
  </si>
  <si>
    <t>YCU.00069</t>
  </si>
  <si>
    <t>0RWG8</t>
  </si>
  <si>
    <t>Rectifier Chassis 2, lower, 4 bay</t>
  </si>
  <si>
    <t>T2R7A3</t>
  </si>
  <si>
    <t>Rectifier 4</t>
  </si>
  <si>
    <t>T2R7A3A1</t>
  </si>
  <si>
    <t>Rectifier 5, warranty repair</t>
  </si>
  <si>
    <t>T2R7A3A2</t>
  </si>
  <si>
    <t>Rectifier 6</t>
  </si>
  <si>
    <t>T2R7A3A3</t>
  </si>
  <si>
    <t>Rectifier 7</t>
  </si>
  <si>
    <t>T2R7A3A4</t>
  </si>
  <si>
    <t>Chassis to hold Inverters 1 &amp; 2, A4 &amp; A6</t>
  </si>
  <si>
    <t>T2R4/5/6/7</t>
  </si>
  <si>
    <t>6130SB0039088</t>
  </si>
  <si>
    <t>TWO POSITION INVERTER SUBRACK</t>
  </si>
  <si>
    <t>11008-08006-001</t>
  </si>
  <si>
    <t>5735639</t>
  </si>
  <si>
    <t>Inverter 1 with Controller</t>
  </si>
  <si>
    <t>T2R7A4</t>
  </si>
  <si>
    <t>6130SB0039090</t>
  </si>
  <si>
    <t>SLI 50 48-230 INVERTER, WITH CONTROLLER</t>
  </si>
  <si>
    <t>3F51991F200G</t>
  </si>
  <si>
    <t>Inverter Controller</t>
  </si>
  <si>
    <t>SLI 50 DISPLAY - CONTROLLER</t>
  </si>
  <si>
    <t>933G1000IFIG</t>
  </si>
  <si>
    <t>Inverter 2</t>
  </si>
  <si>
    <t>T2R7A6</t>
  </si>
  <si>
    <t>6130SB0039089</t>
  </si>
  <si>
    <t>SLI 50 48-230 INVERTER</t>
  </si>
  <si>
    <t>3F51991F100G</t>
  </si>
  <si>
    <t>Inverter monitor</t>
  </si>
  <si>
    <t>SLI 50 LED MONITOR</t>
  </si>
  <si>
    <t>933G34001F1G</t>
  </si>
  <si>
    <t>Chassis to hold Inverters 3 &amp; 4, A8 &amp; A10</t>
  </si>
  <si>
    <t>T2R7A8/9/10/11</t>
  </si>
  <si>
    <t>11008-08006-002</t>
  </si>
  <si>
    <t>5735644</t>
  </si>
  <si>
    <t>Inverter 3</t>
  </si>
  <si>
    <t>T2R7A8</t>
  </si>
  <si>
    <t>Inverter 4</t>
  </si>
  <si>
    <t>T2R7A10</t>
  </si>
  <si>
    <t>Behind R7, street side of center aisle</t>
  </si>
  <si>
    <t>T2R7A12</t>
  </si>
  <si>
    <t>6130SB0039091</t>
  </si>
  <si>
    <t>LOW VOLTAGE DISCONNECT SWITCH ASSEMBLY</t>
  </si>
  <si>
    <t>11099-05028</t>
  </si>
  <si>
    <t>11008-05028</t>
  </si>
  <si>
    <t>T2R7A12a</t>
  </si>
  <si>
    <t>RECTIFIER EXTENDED ALARM BOARD</t>
  </si>
  <si>
    <t>1-152268G</t>
  </si>
  <si>
    <t>Right side of R7</t>
  </si>
  <si>
    <t>T2R7A13</t>
  </si>
  <si>
    <t>6130SB0039092</t>
  </si>
  <si>
    <t>UPS SUM AND DISTRIBUTION ASSEMBLY</t>
  </si>
  <si>
    <t>11099-05008</t>
  </si>
  <si>
    <t>11008-05008</t>
  </si>
  <si>
    <t>T2 Pack Out</t>
  </si>
  <si>
    <t xml:space="preserve">Bag, Canvas 15x24x15 </t>
  </si>
  <si>
    <t>DOOR WEATHER COVER, RIGHT SIDE (SCD)</t>
  </si>
  <si>
    <t>14470-299-001-101</t>
  </si>
  <si>
    <t>DOOR WEATHER COVER, LEFT SIDE (SCD)</t>
  </si>
  <si>
    <t>14470-299-001-102</t>
  </si>
  <si>
    <t>Pulley, Evaporator Lift Kit (Part of Pulley Assy)</t>
  </si>
  <si>
    <t>5798-112-38</t>
  </si>
  <si>
    <t>Kit, Condenser Winch, Consisting of (4) Ea 14470-222-014-180 Threaded Rod Assy, 11470-222-014-170 Condenser Lift Rollers, Packed In Tool Bag</t>
  </si>
  <si>
    <t>11008-09000</t>
  </si>
  <si>
    <t>Condenser Winch Assembly, Condenser Lift Kit, 
(Bolted to GPFU Compartment Floor)</t>
  </si>
  <si>
    <t>14470-222-014-112</t>
  </si>
  <si>
    <t>Condenser Hook Holder, Condenser Lift Kit, 
(Bolted to GPFU Compartment Floor)</t>
  </si>
  <si>
    <t>14470-222-014-201</t>
  </si>
  <si>
    <t>Sherpa Servicing Manual</t>
  </si>
  <si>
    <t>Sherpa Maintenance Manual</t>
  </si>
  <si>
    <t>First Aid Kit (Driver Side Net Behind Seat)</t>
  </si>
  <si>
    <t>Safety Triangle (Under Passenger Seat)</t>
  </si>
  <si>
    <t xml:space="preserve">Fire Extinguisher (in Bracket at both Doors) </t>
  </si>
  <si>
    <t>Retro-reflective Jackets (One Each Door Net)</t>
  </si>
  <si>
    <t>Inflator, Tire Gauge (Passenger Side Net Behind Seat)</t>
  </si>
  <si>
    <t xml:space="preserve">Hose, Air, Flexible (Passenger Side Net Behind Seat) </t>
  </si>
  <si>
    <t>Rim Valve(Tire Valve Extension) (Passenger Side Net Behind Seat)</t>
  </si>
  <si>
    <t>Hydraulic Jack (Passenger Side Floor Behind Seat)</t>
  </si>
  <si>
    <t>Tilt Bar (Jack Bar) (Passenger Side Floor Behind Seat)</t>
  </si>
  <si>
    <t>Spare Bulb Kit (Passenger Side Net Behind Seat)</t>
  </si>
  <si>
    <t>5001863463 / 5003097058</t>
  </si>
  <si>
    <t>Wing Cover, p/o Black Out Kit (In Bag Strapped to Center of Cab Wall)</t>
  </si>
  <si>
    <t>Wind Screen Cover</t>
  </si>
  <si>
    <t>Front Light, Left Cover</t>
  </si>
  <si>
    <t>Front Light, Right Cover</t>
  </si>
  <si>
    <t>Door Cover, p/o Black Out Kit</t>
  </si>
  <si>
    <t>Rear View Mirror, p/o Black Out Kit</t>
  </si>
  <si>
    <t>Direction Indicator, p/o Black Out Kit</t>
  </si>
  <si>
    <t>Registration Plate, p/o Black Out Kit</t>
  </si>
  <si>
    <t>Position Light, p/o Black Out Kit</t>
  </si>
  <si>
    <t>Bumper Cover, p/o Black Out Kit</t>
  </si>
  <si>
    <t xml:space="preserve">Block Pre-Heater Cable (Driver Side Net Behind Seat) </t>
  </si>
  <si>
    <t>Starting Cable (Passenger Side Floor Behind Seat)</t>
  </si>
  <si>
    <t>Wheel Key (Lug Wrench) (Under Passenger Seat)</t>
  </si>
  <si>
    <t>PMV Basic Tool Kit (Under Passenger Seat)</t>
  </si>
  <si>
    <t>Allen Key p/o PMV Basic Tool Kit</t>
  </si>
  <si>
    <t>Flat Spanner, 22/24mm p/o PMV Basic Tool Kit</t>
  </si>
  <si>
    <t>Heavy Duty Tie-Down Strap, Bungie. Store in Solar Shield Bag</t>
  </si>
  <si>
    <t>3891T26</t>
  </si>
  <si>
    <t>SOLAR SHIELD W/STORAGE BAG, STAKES</t>
  </si>
  <si>
    <t>10537-02704</t>
  </si>
  <si>
    <t>Solar Shield Tie-Down Straps, With Bag Of Stakes (In Solar Shield Storage Bag)</t>
  </si>
  <si>
    <t>P/O 10537-02704</t>
  </si>
  <si>
    <t>Spacer, Solar Shield</t>
  </si>
  <si>
    <t>T-14105594-1</t>
  </si>
  <si>
    <t>Camouflage Net in Storage Bag</t>
  </si>
  <si>
    <t>7230SB0004515</t>
  </si>
  <si>
    <t>COVER, TRANSPORT AND STORAGE, 2.4M CONTAINER ASSEMBLY, NATO TSGT</t>
  </si>
  <si>
    <t>10537-02701</t>
  </si>
  <si>
    <t>Chain, Tire, PMV</t>
  </si>
  <si>
    <t>Ground Anchor Bag with Shoulder Strap (Long Green Bag)</t>
  </si>
  <si>
    <t>030-738</t>
  </si>
  <si>
    <t xml:space="preserve">KIT, GROUNDING,  NATO TSGT </t>
  </si>
  <si>
    <t>10535-09000</t>
  </si>
  <si>
    <t>Lightning Rod, Stored in Shoulder Bag</t>
  </si>
  <si>
    <t>10535-08002</t>
  </si>
  <si>
    <t>Ground Rods (in Long Bag)</t>
  </si>
  <si>
    <t>Ground Cables, 15 foot, With Velcro Straps From Ground Kit</t>
  </si>
  <si>
    <t>P/O 10535-09000</t>
  </si>
  <si>
    <t>Coupler, Ground Rod Ø5/8"</t>
  </si>
  <si>
    <t>CR58</t>
  </si>
  <si>
    <t>Drive Stud, for Ø5/8" Rod</t>
  </si>
  <si>
    <t>DS58</t>
  </si>
  <si>
    <t>Grounding Rod Clamp Dual-Nut, for 4/0 Wire Gauge Max, 5/8" Rod Diameter</t>
  </si>
  <si>
    <t>7491K92</t>
  </si>
  <si>
    <t>Stake, Headed, 24" Long, Galvanized, Container Hold Down, (In Long Bag)</t>
  </si>
  <si>
    <t>2624WHSW</t>
  </si>
  <si>
    <t>4130SB0003102</t>
  </si>
  <si>
    <t>JACK, LANDING GEAR, 'A1'</t>
  </si>
  <si>
    <t>14470-121-002</t>
  </si>
  <si>
    <t>4130SB0003101</t>
  </si>
  <si>
    <t>JACK, LANDING GEAR, 'B'</t>
  </si>
  <si>
    <t>14470-121-001</t>
  </si>
  <si>
    <t>Foot Pad, Jack (p/o 14470-121-00X)</t>
  </si>
  <si>
    <t>Handle, Jack (p/o 14470-121-00X)</t>
  </si>
  <si>
    <t>Guard, Jack Shaft (attached to Jacks)</t>
  </si>
  <si>
    <t>10537-08015</t>
  </si>
  <si>
    <t>Wheel Chock</t>
  </si>
  <si>
    <t>WC6810L</t>
  </si>
  <si>
    <t>Bag, Nylon, Green, With Draw-String,14" X 24"</t>
  </si>
  <si>
    <t>3767T21</t>
  </si>
  <si>
    <t>Strap, Ratchet, Container Hold-down (In Draw-String Bag)</t>
  </si>
  <si>
    <t>029-064</t>
  </si>
  <si>
    <t>Shovel, Spade</t>
  </si>
  <si>
    <t>Handle, Mattock</t>
  </si>
  <si>
    <t>102-053</t>
  </si>
  <si>
    <t>Head, Mattock</t>
  </si>
  <si>
    <t>441-741</t>
  </si>
  <si>
    <t xml:space="preserve">Hammer, 4-Lb. Engineer </t>
  </si>
  <si>
    <t>Adapter, Slide Hammer</t>
  </si>
  <si>
    <t>10537-06095</t>
  </si>
  <si>
    <t>Hammer, Slide</t>
  </si>
  <si>
    <t>JACK, LANDING GEAR, 'A2'</t>
  </si>
  <si>
    <t>14470-121-003</t>
  </si>
  <si>
    <t>Foot, Pad, Jack (p/o 14470-121-00X)</t>
  </si>
  <si>
    <t>p/o 14470-121-00X</t>
  </si>
  <si>
    <t>Guard, Jack Shaft (Attached to Jacks)</t>
  </si>
  <si>
    <t>T2 Pack out</t>
  </si>
  <si>
    <t>TRANSIT CASE</t>
  </si>
  <si>
    <t>IM2975NF</t>
  </si>
  <si>
    <t xml:space="preserve"> IM2975NF</t>
  </si>
  <si>
    <t>Strap, Quick Tight, Case Hold-Down max length 6 ft (Looped thru D-Rings in Case)</t>
  </si>
  <si>
    <t>8840T563</t>
  </si>
  <si>
    <t>in ASNMC box</t>
  </si>
  <si>
    <t>6150SB0045254</t>
  </si>
  <si>
    <t>OUTLET, 230V, 4WAY, 1.5M LEGRAND</t>
  </si>
  <si>
    <t>5995SB0040708</t>
  </si>
  <si>
    <t>PATCHCORD, RJ45, UTP, CAT6, BLACK, LENGTH=1MR</t>
  </si>
  <si>
    <t>6150SB0045255</t>
  </si>
  <si>
    <t>POWER SUPPLY, 100-230V, 12V, 0.7A</t>
  </si>
  <si>
    <t>7035SB0000543</t>
  </si>
  <si>
    <t>SWITCH, NETGEAR PROSAFE FS108P, DESKTOP, 8PORT, RJ45</t>
  </si>
  <si>
    <t>FS108P</t>
  </si>
  <si>
    <t>1S0S8</t>
  </si>
  <si>
    <t>4.9 / 9.9</t>
  </si>
  <si>
    <t>Y-JPR, HxMA/S900 2X, SM, 4, 1M</t>
  </si>
  <si>
    <t>731-00495-00</t>
  </si>
  <si>
    <t>with ASNMC Box</t>
  </si>
  <si>
    <t>8105SB0045256</t>
  </si>
  <si>
    <t>BAG, LAPTOP, 15.6", DACOMEX 224705</t>
  </si>
  <si>
    <t>7021SB0038750</t>
  </si>
  <si>
    <t>LAPTOP, GETAC, S400, TSGT DSO LCAM</t>
  </si>
  <si>
    <t>95005449</t>
  </si>
  <si>
    <t>in ASNMC laptop box</t>
  </si>
  <si>
    <t>5998SB0045394</t>
  </si>
  <si>
    <t>POWERSUPPLY, 100-240VAC, 5VDC, 2A, CONNECTOR</t>
  </si>
  <si>
    <t>5999SB0018292</t>
  </si>
  <si>
    <t>PHONE, DESKTOP, VOIP, SNOM 300, BLACK, ASNMC</t>
  </si>
  <si>
    <t>SNOM300</t>
  </si>
  <si>
    <t>CD722</t>
  </si>
  <si>
    <t xml:space="preserve">TELEPHONE IP BUSINESS, SNOM 300 </t>
  </si>
  <si>
    <t>GASKET GUARD, CENTER AISLE</t>
  </si>
  <si>
    <t>10537-02711</t>
  </si>
  <si>
    <t>KIT, TOOL, TSGT TECHNICIAN</t>
  </si>
  <si>
    <t>10537-09000</t>
  </si>
  <si>
    <t>on fiber reel pallet</t>
  </si>
  <si>
    <t>5895SB0003531</t>
  </si>
  <si>
    <t>PMCU 2.4M T2 HAND HELD CONTROLLER</t>
  </si>
  <si>
    <t>99-261-3004-03</t>
  </si>
  <si>
    <t>T1 Pack Out</t>
  </si>
  <si>
    <t>T-1 Extension PMCU Extension Cable, Short</t>
  </si>
  <si>
    <t>99-261-3004-97</t>
  </si>
  <si>
    <t>mounted on mast on external ETB</t>
  </si>
  <si>
    <t>6625SB0002827</t>
  </si>
  <si>
    <t>SONIMOMETER</t>
  </si>
  <si>
    <t>52332</t>
  </si>
  <si>
    <t>DAC DSO Operation and Maintenance Manual (O&amp;M), NATO TSGT Vol 1 (Stored in above Transit Case)</t>
  </si>
  <si>
    <t>11137-01604-001</t>
  </si>
  <si>
    <t>DAC DSO Operation and Maintenance Manual (O&amp;M), NATO TSGT Vol 2 (Stored in above Transit Case)</t>
  </si>
  <si>
    <t>in class room</t>
  </si>
  <si>
    <t>DCIS DSO Operation and Maintenance Manual (O&amp;M), NATO TSGT Vol 1 (Stored in above Transit Case)</t>
  </si>
  <si>
    <t>11137-01604-002</t>
  </si>
  <si>
    <t>DCIS DSO Operation and Maintenance Manual (O&amp;M), NATO TSGT Vol 2 (Stored in above Transit Case)</t>
  </si>
  <si>
    <t>Center Aisle Stop Bracket without Bumper Assembly</t>
  </si>
  <si>
    <t>11008-05152-002</t>
  </si>
  <si>
    <t>Center Aisle Stop Bracket with Bumper Assembly</t>
  </si>
  <si>
    <t>11008-05152-001</t>
  </si>
  <si>
    <t>7021SB0017038</t>
  </si>
  <si>
    <t>TRAINING LAPTOP, with case and AC Adaptor</t>
  </si>
  <si>
    <t>10535-03002</t>
  </si>
  <si>
    <t>Windows 7 Professional 32-bit SP1</t>
  </si>
  <si>
    <t>Media Converter in ASNMC box</t>
  </si>
  <si>
    <t>FO Transceiver &amp; Power Supply (Stored in above Laptop Case)</t>
  </si>
  <si>
    <t>6625SB0002357</t>
  </si>
  <si>
    <t>SPECTRUM ANALYZER</t>
  </si>
  <si>
    <t>2658A</t>
  </si>
  <si>
    <t>Adapter, AC - DC, Spectrum Analyzer with Added ID Label</t>
  </si>
  <si>
    <t>MA400</t>
  </si>
  <si>
    <t>Cable Assembly, USB, Spectrum Analyzer</t>
  </si>
  <si>
    <t>6625SB0008499</t>
  </si>
  <si>
    <t>ATTENUATOR, NM - NF, 5W, 50 OHM, 3 dB</t>
  </si>
  <si>
    <t>BW-N3W5+</t>
  </si>
  <si>
    <t>IAV65</t>
  </si>
  <si>
    <t>6625SB0008500</t>
  </si>
  <si>
    <t>ATTENUATOR, NM - NF, 5W, 50 OHM, 6 dB</t>
  </si>
  <si>
    <t>BW-N6W5+</t>
  </si>
  <si>
    <t>6625SB0008497</t>
  </si>
  <si>
    <t>ATTENUATOR, NM - NF, 5W, 50 OHM, 10 dB</t>
  </si>
  <si>
    <t>BW-N10W5+</t>
  </si>
  <si>
    <t>6625SB0008498</t>
  </si>
  <si>
    <t>ATTENUATOR, NM - NF, 5W, 50 OHM, 20 dB</t>
  </si>
  <si>
    <t>BW-N20W5+</t>
  </si>
  <si>
    <t>6625SB0006933</t>
  </si>
  <si>
    <t>ATTENUATOR NM - MF, 2W, 50 OHM, 30 dB, Reference</t>
  </si>
  <si>
    <t>11708A</t>
  </si>
  <si>
    <t>L3304</t>
  </si>
  <si>
    <t>RADIATION METER</t>
  </si>
  <si>
    <t>8481D-CFG001</t>
  </si>
  <si>
    <t>6625SB0003968</t>
  </si>
  <si>
    <t>WAN TESTER</t>
  </si>
  <si>
    <t>TL2084EB</t>
  </si>
  <si>
    <t>1KRX8</t>
  </si>
  <si>
    <t>Adapter, AC - DC, WAN Tester</t>
  </si>
  <si>
    <t>3A-211DN15</t>
  </si>
  <si>
    <t>6625SB0003360</t>
  </si>
  <si>
    <t>POWER SENSOR</t>
  </si>
  <si>
    <t>8481D</t>
  </si>
  <si>
    <t>5995SB0037355</t>
  </si>
  <si>
    <t>CABLE ASSEMBLY, POWER DETECTOR</t>
  </si>
  <si>
    <t>8120-8319</t>
  </si>
  <si>
    <t>KIT, ADAPTER, RF</t>
  </si>
  <si>
    <t>10537-09001</t>
  </si>
  <si>
    <t>Cable, Right Angle, AC, CEE 7/7 - IEC 60320 C-5</t>
  </si>
  <si>
    <t>81953</t>
  </si>
  <si>
    <t>Removal Tool, BUC / BDC Chassis</t>
  </si>
  <si>
    <t>11137-06198-001</t>
  </si>
  <si>
    <t>11137-06198-002</t>
  </si>
  <si>
    <t>First Aid Kit</t>
  </si>
  <si>
    <t>10HBC01113</t>
  </si>
  <si>
    <t>5QWC9</t>
  </si>
  <si>
    <t>KIT, CABLES, PATCH, FIBER, NATO TSGT</t>
  </si>
  <si>
    <t>11137-09004-001</t>
  </si>
  <si>
    <t>11137-09004-002</t>
  </si>
  <si>
    <t>KIT, CABLES, TEST, NATO TSGT</t>
  </si>
  <si>
    <t>10537-09003</t>
  </si>
  <si>
    <t>Compass Directional, Olive Drab</t>
  </si>
  <si>
    <t>3H 6605 01196 6971</t>
  </si>
  <si>
    <t>Logbook, ECU</t>
  </si>
  <si>
    <t>10537-04310</t>
  </si>
  <si>
    <t>Electronic Documentation (DVD Wallet)</t>
  </si>
  <si>
    <t>10537-03110</t>
  </si>
  <si>
    <t>Cable, AC, CEE 7/7 - IEC 60320 C-5</t>
  </si>
  <si>
    <t>T1 Trailer</t>
  </si>
  <si>
    <t>T1 4.6M Antenna Trailer</t>
  </si>
  <si>
    <t>10536-05000</t>
  </si>
  <si>
    <t>Tool Bag with the following 17 items</t>
  </si>
  <si>
    <t>P95019-2</t>
  </si>
  <si>
    <t>Speed Wrench Drv, 1/2" X 13 5/8"</t>
  </si>
  <si>
    <t>P95076-1</t>
  </si>
  <si>
    <t>Socket Impact Drv, 1/2" X 15/16" Hex</t>
  </si>
  <si>
    <t>P01237-1</t>
  </si>
  <si>
    <t>Socket Adapter Drv, 1/2" X 1/4"</t>
  </si>
  <si>
    <t>P95016-1</t>
  </si>
  <si>
    <t>Socket Drv, 1/2" X 1/2" Hex</t>
  </si>
  <si>
    <t>P95087-1</t>
  </si>
  <si>
    <t>Socket Drv, 1/2" X 3/4" Hex</t>
  </si>
  <si>
    <t>P95089-1</t>
  </si>
  <si>
    <t>Socket Drv, 1/2" X 15/16" Hex</t>
  </si>
  <si>
    <t>P95017-1</t>
  </si>
  <si>
    <t>Hammer, 4LB</t>
  </si>
  <si>
    <t>P95013-1</t>
  </si>
  <si>
    <t>Stake, Dbl Head, 3/4" X 18" Galv</t>
  </si>
  <si>
    <t>P40001-1</t>
  </si>
  <si>
    <t>Tire Lug Wrench</t>
  </si>
  <si>
    <t>P01237-2</t>
  </si>
  <si>
    <t>Eye Nut Adapter Assembly</t>
  </si>
  <si>
    <t>R035642</t>
  </si>
  <si>
    <t>1-1/16” Combination Wrench</t>
  </si>
  <si>
    <t>864892</t>
  </si>
  <si>
    <t>P98532-1</t>
  </si>
  <si>
    <t>ABS IVC Cable 95060040</t>
  </si>
  <si>
    <t>F100014</t>
  </si>
  <si>
    <t>Hand Crank Handle</t>
  </si>
  <si>
    <t>P01236-1</t>
  </si>
  <si>
    <t>Kit, Grounding, NATO TSGT Trailer</t>
  </si>
  <si>
    <t>10535-09000-001</t>
  </si>
  <si>
    <t>Lightning Rod</t>
  </si>
  <si>
    <t>050344-01</t>
  </si>
  <si>
    <t>X-Brace Wing Assembly</t>
  </si>
  <si>
    <t>056430-01</t>
  </si>
  <si>
    <t>Pouch with the following 8 items</t>
  </si>
  <si>
    <t>4.6M Outrigger Cable Assy, (Short)</t>
  </si>
  <si>
    <t>P95098-1</t>
  </si>
  <si>
    <t>4.6M Outrigger Cable Assy, (Long)</t>
  </si>
  <si>
    <t>P95098-2</t>
  </si>
  <si>
    <t>Strap, 9" EPDM Tarp</t>
  </si>
  <si>
    <t>P60477-19</t>
  </si>
  <si>
    <t>Strap, 15" EPDM Tarp</t>
  </si>
  <si>
    <t>Strap, Adjustable, Reflector Hold Down</t>
  </si>
  <si>
    <t>R037425</t>
  </si>
  <si>
    <t>Pole, Reflector, Locking (Stored on Rear of Reflector)</t>
  </si>
  <si>
    <t>042447-01</t>
  </si>
  <si>
    <t>500m Four-Core IFL Cable Reel Assembly</t>
  </si>
  <si>
    <t>10535-05005</t>
  </si>
  <si>
    <t>T-1 to T-2 AC Power Cable Harness Assembly</t>
  </si>
  <si>
    <t>10535-05020</t>
  </si>
  <si>
    <t>T-1 to T-2 Signal Cable Harness Assembly</t>
  </si>
  <si>
    <t>10535-05021</t>
  </si>
  <si>
    <t>Spare Tire</t>
  </si>
  <si>
    <t>Lunette Adapter</t>
  </si>
  <si>
    <t>Snow Chain, 245/70R-17.5 Tire Pair</t>
  </si>
  <si>
    <t>P19753-1</t>
  </si>
  <si>
    <t>Snow Shield Kit, 4.6m</t>
  </si>
  <si>
    <t>F028858</t>
  </si>
  <si>
    <t>Storage Bag, Snow Shield Kit, 4.6m</t>
  </si>
  <si>
    <t>F028859</t>
  </si>
  <si>
    <t>T-1 Extension PMCU</t>
  </si>
  <si>
    <t>99-261-3004-01</t>
  </si>
  <si>
    <t>T-1 Extension PMCU Extension Cable, Long</t>
  </si>
  <si>
    <t>99-261-3004-98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</si>
</sst>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&quot;€&quot;* #,##0.00_-;\-&quot;€&quot;* #,##0.00_-;_-&quot;€&quot;* &quot;-&quot;??_-;_-@_-"/>
    <numFmt numFmtId="165" formatCode="\Y"/>
    <numFmt numFmtId="166" formatCode="_-* #.##0.00_-;\-* #.##0.00_-;_-* &quot;-&quot;??_-;_-@_-"/>
    <numFmt numFmtId="167" formatCode="_-* #,##0_-;\-* #,##0_-;_-* &quot;-&quot;??_-;_-@_-"/>
    <numFmt numFmtId="168" formatCode="0.000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i/>
      <sz val="10"/>
      <color rgb="FF000000"/>
      <name val="Arial"/>
      <family val="2"/>
    </font>
    <font>
      <sz val="9"/>
      <color rgb="FF00000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</fonts>
  <fills count="4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B8CCE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6" fontId="25" fillId="0" borderId="0" applyFont="0" applyFill="0" applyBorder="0" applyAlignment="0" applyProtection="0"/>
    <xf numFmtId="0" fontId="1" fillId="0" borderId="0"/>
  </cellStyleXfs>
  <cellXfs count="266">
    <xf numFmtId="0" fontId="0" fillId="0" borderId="0" xfId="0"/>
    <xf numFmtId="0" fontId="0" fillId="33" borderId="10" xfId="0" applyFill="1" applyBorder="1" applyAlignment="1">
      <alignment vertical="top" wrapText="1"/>
    </xf>
    <xf numFmtId="0" fontId="19" fillId="33" borderId="10" xfId="0" applyFont="1" applyFill="1" applyBorder="1" applyAlignment="1">
      <alignment vertical="top" wrapText="1"/>
    </xf>
    <xf numFmtId="0" fontId="0" fillId="34" borderId="10" xfId="0" applyFill="1" applyBorder="1" applyAlignment="1">
      <alignment vertical="top" wrapText="1"/>
    </xf>
    <xf numFmtId="0" fontId="18" fillId="34" borderId="10" xfId="0" applyFont="1" applyFill="1" applyBorder="1" applyAlignment="1">
      <alignment vertical="top" wrapText="1"/>
    </xf>
    <xf numFmtId="15" fontId="18" fillId="34" borderId="10" xfId="0" applyNumberFormat="1" applyFont="1" applyFill="1" applyBorder="1" applyAlignment="1">
      <alignment vertical="top" wrapText="1"/>
    </xf>
    <xf numFmtId="3" fontId="18" fillId="34" borderId="10" xfId="0" applyNumberFormat="1" applyFont="1" applyFill="1" applyBorder="1" applyAlignment="1">
      <alignment vertical="top" wrapText="1"/>
    </xf>
    <xf numFmtId="0" fontId="21" fillId="34" borderId="0" xfId="0" applyFont="1" applyFill="1" applyAlignment="1">
      <alignment horizontal="right" wrapText="1"/>
    </xf>
    <xf numFmtId="15" fontId="21" fillId="34" borderId="0" xfId="0" applyNumberFormat="1" applyFont="1" applyFill="1" applyAlignment="1">
      <alignment wrapText="1"/>
    </xf>
    <xf numFmtId="0" fontId="21" fillId="34" borderId="0" xfId="0" applyFont="1" applyFill="1" applyAlignment="1">
      <alignment wrapText="1"/>
    </xf>
    <xf numFmtId="0" fontId="22" fillId="0" borderId="0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/>
    </xf>
    <xf numFmtId="0" fontId="22" fillId="0" borderId="12" xfId="0" applyFont="1" applyFill="1" applyBorder="1" applyAlignment="1" applyProtection="1">
      <alignment horizontal="center" vertical="center" wrapText="1"/>
    </xf>
    <xf numFmtId="49" fontId="22" fillId="0" borderId="12" xfId="0" applyNumberFormat="1" applyFont="1" applyFill="1" applyBorder="1" applyAlignment="1">
      <alignment vertical="center" wrapText="1"/>
    </xf>
    <xf numFmtId="49" fontId="22" fillId="0" borderId="12" xfId="0" applyNumberFormat="1" applyFont="1" applyFill="1" applyBorder="1" applyAlignment="1">
      <alignment horizontal="center" vertical="center"/>
    </xf>
    <xf numFmtId="49" fontId="22" fillId="0" borderId="12" xfId="0" applyNumberFormat="1" applyFont="1" applyFill="1" applyBorder="1" applyAlignment="1" applyProtection="1">
      <alignment horizontal="center" vertical="center" wrapText="1"/>
      <protection locked="0"/>
    </xf>
    <xf numFmtId="1" fontId="22" fillId="0" borderId="12" xfId="0" applyNumberFormat="1" applyFont="1" applyFill="1" applyBorder="1" applyAlignment="1">
      <alignment horizontal="center" vertical="center"/>
    </xf>
    <xf numFmtId="0" fontId="22" fillId="0" borderId="12" xfId="0" applyFont="1" applyFill="1" applyBorder="1" applyAlignment="1">
      <alignment horizontal="center" vertical="center"/>
    </xf>
    <xf numFmtId="0" fontId="23" fillId="35" borderId="12" xfId="0" applyFont="1" applyFill="1" applyBorder="1" applyAlignment="1" applyProtection="1">
      <alignment horizontal="center" vertical="center" wrapText="1"/>
    </xf>
    <xf numFmtId="0" fontId="23" fillId="35" borderId="12" xfId="0" applyFont="1" applyFill="1" applyBorder="1" applyAlignment="1" applyProtection="1">
      <alignment horizontal="center" vertical="center"/>
    </xf>
    <xf numFmtId="49" fontId="22" fillId="35" borderId="12" xfId="0" applyNumberFormat="1" applyFont="1" applyFill="1" applyBorder="1" applyAlignment="1" applyProtection="1">
      <alignment vertical="center" wrapText="1"/>
    </xf>
    <xf numFmtId="49" fontId="22" fillId="35" borderId="12" xfId="0" applyNumberFormat="1" applyFont="1" applyFill="1" applyBorder="1" applyAlignment="1" applyProtection="1">
      <alignment horizontal="center" vertical="center" wrapText="1"/>
    </xf>
    <xf numFmtId="1" fontId="22" fillId="35" borderId="12" xfId="0" applyNumberFormat="1" applyFont="1" applyFill="1" applyBorder="1" applyAlignment="1" applyProtection="1">
      <alignment horizontal="center" vertical="center" wrapText="1"/>
    </xf>
    <xf numFmtId="165" fontId="22" fillId="35" borderId="12" xfId="0" applyNumberFormat="1" applyFont="1" applyFill="1" applyBorder="1" applyAlignment="1" applyProtection="1">
      <alignment horizontal="center" vertical="center" wrapText="1"/>
    </xf>
    <xf numFmtId="0" fontId="22" fillId="35" borderId="12" xfId="0" applyFont="1" applyFill="1" applyBorder="1" applyAlignment="1" applyProtection="1">
      <alignment horizontal="center" vertical="center" wrapText="1"/>
    </xf>
    <xf numFmtId="164" fontId="22" fillId="35" borderId="12" xfId="42" applyFont="1" applyFill="1" applyBorder="1" applyAlignment="1" applyProtection="1">
      <alignment horizontal="center" vertical="center" wrapText="1"/>
    </xf>
    <xf numFmtId="14" fontId="22" fillId="35" borderId="12" xfId="42" applyNumberFormat="1" applyFont="1" applyFill="1" applyBorder="1" applyAlignment="1" applyProtection="1">
      <alignment horizontal="center" vertical="center" wrapText="1"/>
    </xf>
    <xf numFmtId="49" fontId="22" fillId="35" borderId="12" xfId="42" applyNumberFormat="1" applyFont="1" applyFill="1" applyBorder="1" applyAlignment="1" applyProtection="1">
      <alignment horizontal="center" vertical="center" wrapText="1"/>
    </xf>
    <xf numFmtId="4" fontId="22" fillId="35" borderId="12" xfId="42" applyNumberFormat="1" applyFont="1" applyFill="1" applyBorder="1" applyAlignment="1" applyProtection="1">
      <alignment horizontal="center" vertical="center" wrapText="1"/>
    </xf>
    <xf numFmtId="0" fontId="22" fillId="36" borderId="12" xfId="0" applyFont="1" applyFill="1" applyBorder="1" applyAlignment="1" applyProtection="1">
      <alignment horizontal="center" vertical="center"/>
    </xf>
    <xf numFmtId="0" fontId="22" fillId="36" borderId="12" xfId="0" applyFont="1" applyFill="1" applyBorder="1" applyAlignment="1" applyProtection="1">
      <alignment horizontal="center" vertical="center" wrapText="1"/>
    </xf>
    <xf numFmtId="0" fontId="22" fillId="36" borderId="12" xfId="0" applyFont="1" applyFill="1" applyBorder="1" applyAlignment="1" applyProtection="1">
      <alignment horizontal="left" vertical="center" wrapText="1"/>
    </xf>
    <xf numFmtId="0" fontId="22" fillId="36" borderId="12" xfId="0" applyFont="1" applyFill="1" applyBorder="1" applyAlignment="1" applyProtection="1">
      <alignment horizontal="left" vertical="center"/>
    </xf>
    <xf numFmtId="49" fontId="22" fillId="36" borderId="12" xfId="0" applyNumberFormat="1" applyFont="1" applyFill="1" applyBorder="1" applyAlignment="1" applyProtection="1">
      <alignment vertical="center" wrapText="1"/>
    </xf>
    <xf numFmtId="49" fontId="22" fillId="36" borderId="12" xfId="0" applyNumberFormat="1" applyFont="1" applyFill="1" applyBorder="1" applyAlignment="1">
      <alignment horizontal="center" vertical="center"/>
    </xf>
    <xf numFmtId="49" fontId="22" fillId="36" borderId="12" xfId="0" applyNumberFormat="1" applyFont="1" applyFill="1" applyBorder="1" applyAlignment="1" applyProtection="1">
      <alignment horizontal="center" vertical="center" wrapText="1"/>
      <protection locked="0"/>
    </xf>
    <xf numFmtId="0" fontId="22" fillId="36" borderId="12" xfId="43" applyFont="1" applyFill="1" applyBorder="1" applyAlignment="1">
      <alignment horizontal="center" vertical="center" wrapText="1"/>
    </xf>
    <xf numFmtId="0" fontId="22" fillId="36" borderId="12" xfId="43" applyFont="1" applyFill="1" applyBorder="1" applyAlignment="1">
      <alignment horizontal="center" vertical="center"/>
    </xf>
    <xf numFmtId="1" fontId="22" fillId="36" borderId="12" xfId="0" applyNumberFormat="1" applyFont="1" applyFill="1" applyBorder="1" applyAlignment="1">
      <alignment horizontal="center" vertical="center"/>
    </xf>
    <xf numFmtId="1" fontId="22" fillId="36" borderId="12" xfId="0" applyNumberFormat="1" applyFont="1" applyFill="1" applyBorder="1" applyAlignment="1" applyProtection="1">
      <alignment horizontal="center" vertical="center" wrapText="1"/>
      <protection locked="0"/>
    </xf>
    <xf numFmtId="165" fontId="22" fillId="36" borderId="12" xfId="0" applyNumberFormat="1" applyFont="1" applyFill="1" applyBorder="1" applyAlignment="1" applyProtection="1">
      <alignment horizontal="center" vertical="center" wrapText="1"/>
      <protection locked="0"/>
    </xf>
    <xf numFmtId="0" fontId="22" fillId="36" borderId="12" xfId="0" applyFont="1" applyFill="1" applyBorder="1" applyAlignment="1" applyProtection="1">
      <alignment horizontal="center" vertical="center" wrapText="1"/>
      <protection locked="0"/>
    </xf>
    <xf numFmtId="164" fontId="22" fillId="36" borderId="12" xfId="42" applyFont="1" applyFill="1" applyBorder="1" applyAlignment="1">
      <alignment horizontal="center" vertical="center"/>
    </xf>
    <xf numFmtId="14" fontId="22" fillId="36" borderId="12" xfId="0" applyNumberFormat="1" applyFont="1" applyFill="1" applyBorder="1" applyAlignment="1" applyProtection="1">
      <alignment horizontal="center" vertical="center" wrapText="1"/>
      <protection locked="0"/>
    </xf>
    <xf numFmtId="4" fontId="22" fillId="36" borderId="12" xfId="0" applyNumberFormat="1" applyFont="1" applyFill="1" applyBorder="1" applyAlignment="1" applyProtection="1">
      <alignment horizontal="center" vertical="center" wrapText="1"/>
      <protection locked="0"/>
    </xf>
    <xf numFmtId="0" fontId="22" fillId="36" borderId="0" xfId="0" applyFont="1" applyFill="1" applyBorder="1" applyAlignment="1" applyProtection="1">
      <alignment horizontal="center" vertical="center" wrapText="1"/>
    </xf>
    <xf numFmtId="1" fontId="22" fillId="36" borderId="0" xfId="0" applyNumberFormat="1" applyFont="1" applyFill="1" applyBorder="1" applyAlignment="1" applyProtection="1">
      <alignment horizontal="center" vertical="center" wrapText="1"/>
    </xf>
    <xf numFmtId="49" fontId="22" fillId="36" borderId="12" xfId="0" applyNumberFormat="1" applyFont="1" applyFill="1" applyBorder="1" applyAlignment="1" applyProtection="1">
      <alignment horizontal="center" vertical="center" wrapText="1"/>
    </xf>
    <xf numFmtId="0" fontId="22" fillId="36" borderId="12" xfId="0" applyNumberFormat="1" applyFont="1" applyFill="1" applyBorder="1" applyAlignment="1" applyProtection="1">
      <alignment horizontal="center" vertical="center" wrapText="1"/>
      <protection locked="0"/>
    </xf>
    <xf numFmtId="165" fontId="22" fillId="36" borderId="12" xfId="0" applyNumberFormat="1" applyFont="1" applyFill="1" applyBorder="1" applyAlignment="1" applyProtection="1">
      <alignment horizontal="center" vertical="center" wrapText="1"/>
    </xf>
    <xf numFmtId="164" fontId="22" fillId="36" borderId="12" xfId="42" applyFont="1" applyFill="1" applyBorder="1" applyAlignment="1" applyProtection="1">
      <alignment horizontal="right" vertical="center" wrapText="1"/>
      <protection locked="0"/>
    </xf>
    <xf numFmtId="49" fontId="22" fillId="36" borderId="12" xfId="42" applyNumberFormat="1" applyFont="1" applyFill="1" applyBorder="1" applyAlignment="1" applyProtection="1">
      <alignment horizontal="center" vertical="center" wrapText="1"/>
    </xf>
    <xf numFmtId="4" fontId="22" fillId="36" borderId="12" xfId="42" applyNumberFormat="1" applyFont="1" applyFill="1" applyBorder="1" applyAlignment="1" applyProtection="1">
      <alignment horizontal="center" vertical="center" wrapText="1"/>
    </xf>
    <xf numFmtId="0" fontId="22" fillId="37" borderId="12" xfId="0" applyFont="1" applyFill="1" applyBorder="1" applyAlignment="1" applyProtection="1">
      <alignment horizontal="center" vertical="center" wrapText="1"/>
    </xf>
    <xf numFmtId="0" fontId="22" fillId="37" borderId="12" xfId="0" applyFont="1" applyFill="1" applyBorder="1" applyAlignment="1" applyProtection="1">
      <alignment horizontal="left" vertical="center" wrapText="1"/>
    </xf>
    <xf numFmtId="0" fontId="22" fillId="37" borderId="12" xfId="0" applyFont="1" applyFill="1" applyBorder="1" applyAlignment="1">
      <alignment vertical="center" wrapText="1"/>
    </xf>
    <xf numFmtId="49" fontId="22" fillId="37" borderId="12" xfId="0" applyNumberFormat="1" applyFont="1" applyFill="1" applyBorder="1" applyAlignment="1" applyProtection="1">
      <alignment horizontal="center" vertical="center" wrapText="1"/>
      <protection locked="0"/>
    </xf>
    <xf numFmtId="0" fontId="22" fillId="37" borderId="12" xfId="0" applyFont="1" applyFill="1" applyBorder="1" applyAlignment="1">
      <alignment horizontal="center" vertical="center"/>
    </xf>
    <xf numFmtId="0" fontId="22" fillId="37" borderId="12" xfId="0" applyNumberFormat="1" applyFont="1" applyFill="1" applyBorder="1" applyAlignment="1" applyProtection="1">
      <alignment horizontal="center" vertical="center" wrapText="1"/>
      <protection locked="0"/>
    </xf>
    <xf numFmtId="0" fontId="22" fillId="37" borderId="12" xfId="43" applyFont="1" applyFill="1" applyBorder="1" applyAlignment="1">
      <alignment horizontal="center" vertical="center"/>
    </xf>
    <xf numFmtId="1" fontId="22" fillId="37" borderId="12" xfId="0" applyNumberFormat="1" applyFont="1" applyFill="1" applyBorder="1" applyAlignment="1" applyProtection="1">
      <alignment horizontal="center" vertical="center" wrapText="1"/>
      <protection locked="0"/>
    </xf>
    <xf numFmtId="165" fontId="22" fillId="37" borderId="12" xfId="0" applyNumberFormat="1" applyFont="1" applyFill="1" applyBorder="1" applyAlignment="1" applyProtection="1">
      <alignment horizontal="center" vertical="center" wrapText="1"/>
      <protection locked="0"/>
    </xf>
    <xf numFmtId="0" fontId="22" fillId="37" borderId="12" xfId="0" applyFont="1" applyFill="1" applyBorder="1" applyAlignment="1" applyProtection="1">
      <alignment horizontal="center" vertical="center" wrapText="1"/>
      <protection locked="0"/>
    </xf>
    <xf numFmtId="164" fontId="22" fillId="37" borderId="12" xfId="42" applyFont="1" applyFill="1" applyBorder="1" applyAlignment="1">
      <alignment horizontal="center" vertical="center"/>
    </xf>
    <xf numFmtId="14" fontId="22" fillId="37" borderId="12" xfId="0" applyNumberFormat="1" applyFont="1" applyFill="1" applyBorder="1" applyAlignment="1" applyProtection="1">
      <alignment horizontal="center" vertical="center" wrapText="1"/>
      <protection locked="0"/>
    </xf>
    <xf numFmtId="4" fontId="22" fillId="37" borderId="12" xfId="0" applyNumberFormat="1" applyFont="1" applyFill="1" applyBorder="1" applyAlignment="1" applyProtection="1">
      <alignment horizontal="center" vertical="center" wrapText="1"/>
      <protection locked="0"/>
    </xf>
    <xf numFmtId="1" fontId="22" fillId="0" borderId="0" xfId="0" applyNumberFormat="1" applyFont="1" applyFill="1" applyBorder="1" applyAlignment="1" applyProtection="1">
      <alignment horizontal="center" vertical="center" wrapText="1"/>
    </xf>
    <xf numFmtId="0" fontId="22" fillId="37" borderId="12" xfId="0" applyFont="1" applyFill="1" applyBorder="1" applyAlignment="1" applyProtection="1">
      <alignment horizontal="center" vertical="center"/>
    </xf>
    <xf numFmtId="0" fontId="22" fillId="37" borderId="12" xfId="0" applyFont="1" applyFill="1" applyBorder="1" applyAlignment="1" applyProtection="1">
      <alignment horizontal="left" vertical="center"/>
    </xf>
    <xf numFmtId="164" fontId="22" fillId="37" borderId="12" xfId="42" applyFont="1" applyFill="1" applyBorder="1" applyAlignment="1" applyProtection="1">
      <alignment horizontal="center" vertical="center" wrapText="1"/>
      <protection locked="0"/>
    </xf>
    <xf numFmtId="49" fontId="22" fillId="37" borderId="12" xfId="0" applyNumberFormat="1" applyFont="1" applyFill="1" applyBorder="1" applyAlignment="1" applyProtection="1">
      <alignment vertical="center" wrapText="1"/>
      <protection locked="0"/>
    </xf>
    <xf numFmtId="1" fontId="22" fillId="37" borderId="12" xfId="43" applyNumberFormat="1" applyFont="1" applyFill="1" applyBorder="1" applyAlignment="1">
      <alignment horizontal="center" vertical="center"/>
    </xf>
    <xf numFmtId="1" fontId="22" fillId="37" borderId="12" xfId="0" applyNumberFormat="1" applyFont="1" applyFill="1" applyBorder="1" applyAlignment="1">
      <alignment horizontal="center" vertical="center"/>
    </xf>
    <xf numFmtId="49" fontId="22" fillId="37" borderId="12" xfId="0" applyNumberFormat="1" applyFont="1" applyFill="1" applyBorder="1" applyAlignment="1">
      <alignment horizontal="center" vertical="center"/>
    </xf>
    <xf numFmtId="0" fontId="22" fillId="37" borderId="0" xfId="0" applyFont="1" applyFill="1" applyBorder="1" applyAlignment="1" applyProtection="1">
      <alignment horizontal="center" vertical="center" wrapText="1"/>
    </xf>
    <xf numFmtId="1" fontId="22" fillId="37" borderId="0" xfId="0" applyNumberFormat="1" applyFont="1" applyFill="1" applyBorder="1" applyAlignment="1" applyProtection="1">
      <alignment horizontal="center" vertical="center" wrapText="1"/>
    </xf>
    <xf numFmtId="167" fontId="22" fillId="36" borderId="12" xfId="44" applyNumberFormat="1" applyFont="1" applyFill="1" applyBorder="1" applyAlignment="1">
      <alignment vertical="center" wrapText="1"/>
    </xf>
    <xf numFmtId="0" fontId="22" fillId="36" borderId="12" xfId="43" applyFont="1" applyFill="1" applyBorder="1" applyAlignment="1" applyProtection="1">
      <alignment horizontal="center" vertical="center" wrapText="1"/>
      <protection locked="0"/>
    </xf>
    <xf numFmtId="0" fontId="22" fillId="38" borderId="12" xfId="0" applyFont="1" applyFill="1" applyBorder="1" applyAlignment="1" applyProtection="1">
      <alignment horizontal="center" vertical="center"/>
    </xf>
    <xf numFmtId="0" fontId="22" fillId="38" borderId="12" xfId="0" applyFont="1" applyFill="1" applyBorder="1" applyAlignment="1" applyProtection="1">
      <alignment horizontal="center" vertical="center" wrapText="1"/>
    </xf>
    <xf numFmtId="0" fontId="22" fillId="38" borderId="12" xfId="0" applyFont="1" applyFill="1" applyBorder="1" applyAlignment="1" applyProtection="1">
      <alignment horizontal="left" vertical="center" wrapText="1"/>
    </xf>
    <xf numFmtId="0" fontId="22" fillId="38" borderId="12" xfId="0" applyFont="1" applyFill="1" applyBorder="1" applyAlignment="1" applyProtection="1">
      <alignment horizontal="left" vertical="center"/>
    </xf>
    <xf numFmtId="0" fontId="22" fillId="38" borderId="12" xfId="43" applyFont="1" applyFill="1" applyBorder="1" applyAlignment="1">
      <alignment vertical="center" wrapText="1"/>
    </xf>
    <xf numFmtId="49" fontId="22" fillId="38" borderId="12" xfId="0" applyNumberFormat="1" applyFont="1" applyFill="1" applyBorder="1" applyAlignment="1" applyProtection="1">
      <alignment horizontal="center" vertical="center" wrapText="1"/>
      <protection locked="0"/>
    </xf>
    <xf numFmtId="0" fontId="22" fillId="38" borderId="12" xfId="43" applyFont="1" applyFill="1" applyBorder="1" applyAlignment="1">
      <alignment horizontal="center" vertical="center" wrapText="1"/>
    </xf>
    <xf numFmtId="0" fontId="22" fillId="38" borderId="12" xfId="43" applyFont="1" applyFill="1" applyBorder="1" applyAlignment="1">
      <alignment horizontal="center" vertical="center"/>
    </xf>
    <xf numFmtId="0" fontId="22" fillId="38" borderId="12" xfId="43" applyFont="1" applyFill="1" applyBorder="1" applyAlignment="1" applyProtection="1">
      <alignment horizontal="center" vertical="center" wrapText="1"/>
      <protection locked="0"/>
    </xf>
    <xf numFmtId="1" fontId="22" fillId="38" borderId="12" xfId="0" applyNumberFormat="1" applyFont="1" applyFill="1" applyBorder="1" applyAlignment="1">
      <alignment horizontal="center" vertical="center"/>
    </xf>
    <xf numFmtId="1" fontId="22" fillId="38" borderId="12" xfId="0" applyNumberFormat="1" applyFont="1" applyFill="1" applyBorder="1" applyAlignment="1" applyProtection="1">
      <alignment horizontal="center" vertical="center" wrapText="1"/>
      <protection locked="0"/>
    </xf>
    <xf numFmtId="49" fontId="22" fillId="38" borderId="12" xfId="0" applyNumberFormat="1" applyFont="1" applyFill="1" applyBorder="1" applyAlignment="1" applyProtection="1">
      <alignment horizontal="center" vertical="center" wrapText="1"/>
    </xf>
    <xf numFmtId="0" fontId="22" fillId="38" borderId="12" xfId="0" applyFont="1" applyFill="1" applyBorder="1" applyAlignment="1" applyProtection="1">
      <alignment horizontal="center" vertical="center" wrapText="1"/>
      <protection locked="0"/>
    </xf>
    <xf numFmtId="164" fontId="22" fillId="38" borderId="12" xfId="42" applyFont="1" applyFill="1" applyBorder="1" applyAlignment="1">
      <alignment horizontal="center" vertical="center"/>
    </xf>
    <xf numFmtId="14" fontId="22" fillId="38" borderId="12" xfId="0" applyNumberFormat="1" applyFont="1" applyFill="1" applyBorder="1" applyAlignment="1" applyProtection="1">
      <alignment horizontal="center" vertical="center" wrapText="1"/>
      <protection locked="0"/>
    </xf>
    <xf numFmtId="0" fontId="22" fillId="36" borderId="12" xfId="43" applyFont="1" applyFill="1" applyBorder="1" applyAlignment="1">
      <alignment vertical="center" wrapText="1"/>
    </xf>
    <xf numFmtId="0" fontId="22" fillId="38" borderId="12" xfId="0" applyFont="1" applyFill="1" applyBorder="1" applyAlignment="1">
      <alignment vertical="center" wrapText="1"/>
    </xf>
    <xf numFmtId="0" fontId="22" fillId="38" borderId="12" xfId="0" applyFont="1" applyFill="1" applyBorder="1" applyAlignment="1">
      <alignment horizontal="center" vertical="center"/>
    </xf>
    <xf numFmtId="0" fontId="22" fillId="38" borderId="12" xfId="0" applyNumberFormat="1" applyFont="1" applyFill="1" applyBorder="1" applyAlignment="1" applyProtection="1">
      <alignment horizontal="center" vertical="center" wrapText="1"/>
      <protection locked="0"/>
    </xf>
    <xf numFmtId="0" fontId="22" fillId="38" borderId="12" xfId="0" applyFont="1" applyFill="1" applyBorder="1" applyAlignment="1" applyProtection="1">
      <alignment horizontal="center" vertical="center"/>
      <protection locked="0"/>
    </xf>
    <xf numFmtId="165" fontId="22" fillId="38" borderId="12" xfId="0" applyNumberFormat="1" applyFont="1" applyFill="1" applyBorder="1" applyAlignment="1" applyProtection="1">
      <alignment horizontal="center" vertical="center" wrapText="1"/>
      <protection locked="0"/>
    </xf>
    <xf numFmtId="164" fontId="22" fillId="38" borderId="12" xfId="42" applyFont="1" applyFill="1" applyBorder="1" applyAlignment="1" applyProtection="1">
      <alignment horizontal="center" vertical="center" wrapText="1"/>
      <protection locked="0"/>
    </xf>
    <xf numFmtId="4" fontId="22" fillId="38" borderId="12" xfId="0" applyNumberFormat="1" applyFont="1" applyFill="1" applyBorder="1" applyAlignment="1" applyProtection="1">
      <alignment horizontal="center" vertical="center" wrapText="1"/>
      <protection locked="0"/>
    </xf>
    <xf numFmtId="49" fontId="22" fillId="36" borderId="12" xfId="0" applyNumberFormat="1" applyFont="1" applyFill="1" applyBorder="1" applyAlignment="1" applyProtection="1">
      <alignment vertical="center" wrapText="1"/>
      <protection locked="0"/>
    </xf>
    <xf numFmtId="49" fontId="22" fillId="38" borderId="12" xfId="0" applyNumberFormat="1" applyFont="1" applyFill="1" applyBorder="1" applyAlignment="1" applyProtection="1">
      <alignment vertical="center" wrapText="1"/>
      <protection locked="0"/>
    </xf>
    <xf numFmtId="0" fontId="22" fillId="38" borderId="12" xfId="0" applyFont="1" applyFill="1" applyBorder="1" applyAlignment="1">
      <alignment horizontal="left" vertical="center"/>
    </xf>
    <xf numFmtId="49" fontId="22" fillId="38" borderId="12" xfId="0" quotePrefix="1" applyNumberFormat="1" applyFont="1" applyFill="1" applyBorder="1" applyAlignment="1" applyProtection="1">
      <alignment horizontal="center" vertical="center" wrapText="1"/>
      <protection locked="0"/>
    </xf>
    <xf numFmtId="49" fontId="22" fillId="38" borderId="12" xfId="0" applyNumberFormat="1" applyFont="1" applyFill="1" applyBorder="1" applyAlignment="1" applyProtection="1">
      <alignment vertical="center" wrapText="1"/>
    </xf>
    <xf numFmtId="0" fontId="22" fillId="38" borderId="12" xfId="0" applyFont="1" applyFill="1" applyBorder="1" applyAlignment="1"/>
    <xf numFmtId="49" fontId="22" fillId="38" borderId="12" xfId="0" applyNumberFormat="1" applyFont="1" applyFill="1" applyBorder="1" applyAlignment="1" applyProtection="1">
      <alignment horizontal="center" vertical="center"/>
      <protection locked="0"/>
    </xf>
    <xf numFmtId="0" fontId="22" fillId="38" borderId="12" xfId="0" applyFont="1" applyFill="1" applyBorder="1" applyAlignment="1">
      <alignment wrapText="1"/>
    </xf>
    <xf numFmtId="164" fontId="22" fillId="38" borderId="12" xfId="42" applyFont="1" applyFill="1" applyBorder="1" applyAlignment="1" applyProtection="1">
      <alignment horizontal="right" vertical="center" wrapText="1"/>
      <protection locked="0"/>
    </xf>
    <xf numFmtId="0" fontId="22" fillId="38" borderId="12" xfId="0" applyFont="1" applyFill="1" applyBorder="1" applyAlignment="1">
      <alignment horizontal="left" wrapText="1"/>
    </xf>
    <xf numFmtId="0" fontId="22" fillId="38" borderId="12" xfId="0" quotePrefix="1" applyFont="1" applyFill="1" applyBorder="1" applyAlignment="1">
      <alignment horizontal="center" vertical="center"/>
    </xf>
    <xf numFmtId="0" fontId="22" fillId="36" borderId="12" xfId="45" applyFont="1" applyFill="1" applyBorder="1" applyAlignment="1">
      <alignment horizontal="center" vertical="center"/>
    </xf>
    <xf numFmtId="0" fontId="22" fillId="39" borderId="12" xfId="0" applyFont="1" applyFill="1" applyBorder="1" applyAlignment="1" applyProtection="1">
      <alignment horizontal="center" vertical="center"/>
    </xf>
    <xf numFmtId="0" fontId="22" fillId="39" borderId="12" xfId="0" applyFont="1" applyFill="1" applyBorder="1" applyAlignment="1" applyProtection="1">
      <alignment horizontal="center" vertical="center" wrapText="1"/>
    </xf>
    <xf numFmtId="0" fontId="22" fillId="39" borderId="12" xfId="0" applyFont="1" applyFill="1" applyBorder="1" applyAlignment="1" applyProtection="1">
      <alignment horizontal="left" vertical="center" wrapText="1"/>
    </xf>
    <xf numFmtId="0" fontId="22" fillId="39" borderId="12" xfId="0" applyFont="1" applyFill="1" applyBorder="1" applyAlignment="1" applyProtection="1">
      <alignment horizontal="left" vertical="center"/>
    </xf>
    <xf numFmtId="0" fontId="22" fillId="39" borderId="12" xfId="0" applyFont="1" applyFill="1" applyBorder="1" applyAlignment="1">
      <alignment vertical="center" wrapText="1"/>
    </xf>
    <xf numFmtId="49" fontId="22" fillId="39" borderId="12" xfId="0" applyNumberFormat="1" applyFont="1" applyFill="1" applyBorder="1" applyAlignment="1" applyProtection="1">
      <alignment horizontal="center" vertical="center" wrapText="1"/>
      <protection locked="0"/>
    </xf>
    <xf numFmtId="1" fontId="22" fillId="39" borderId="12" xfId="0" applyNumberFormat="1" applyFont="1" applyFill="1" applyBorder="1" applyAlignment="1" applyProtection="1">
      <alignment horizontal="center" vertical="center" wrapText="1"/>
      <protection locked="0"/>
    </xf>
    <xf numFmtId="0" fontId="22" fillId="39" borderId="12" xfId="43" applyFont="1" applyFill="1" applyBorder="1" applyAlignment="1">
      <alignment horizontal="center" vertical="center"/>
    </xf>
    <xf numFmtId="165" fontId="22" fillId="39" borderId="12" xfId="0" applyNumberFormat="1" applyFont="1" applyFill="1" applyBorder="1" applyAlignment="1" applyProtection="1">
      <alignment horizontal="center" vertical="center" wrapText="1"/>
      <protection locked="0"/>
    </xf>
    <xf numFmtId="0" fontId="22" fillId="39" borderId="12" xfId="0" applyNumberFormat="1" applyFont="1" applyFill="1" applyBorder="1" applyAlignment="1" applyProtection="1">
      <alignment horizontal="center" vertical="center" wrapText="1"/>
      <protection locked="0"/>
    </xf>
    <xf numFmtId="0" fontId="22" fillId="39" borderId="12" xfId="0" applyFont="1" applyFill="1" applyBorder="1" applyAlignment="1" applyProtection="1">
      <alignment horizontal="center" vertical="center" wrapText="1"/>
      <protection locked="0"/>
    </xf>
    <xf numFmtId="164" fontId="22" fillId="39" borderId="12" xfId="42" applyFont="1" applyFill="1" applyBorder="1" applyAlignment="1">
      <alignment horizontal="center" vertical="center"/>
    </xf>
    <xf numFmtId="14" fontId="22" fillId="39" borderId="12" xfId="0" applyNumberFormat="1" applyFont="1" applyFill="1" applyBorder="1" applyAlignment="1" applyProtection="1">
      <alignment horizontal="center" vertical="center" wrapText="1"/>
      <protection locked="0"/>
    </xf>
    <xf numFmtId="4" fontId="22" fillId="39" borderId="12" xfId="0" applyNumberFormat="1" applyFont="1" applyFill="1" applyBorder="1" applyAlignment="1" applyProtection="1">
      <alignment horizontal="center" vertical="center" wrapText="1"/>
      <protection locked="0"/>
    </xf>
    <xf numFmtId="49" fontId="22" fillId="39" borderId="12" xfId="0" applyNumberFormat="1" applyFont="1" applyFill="1" applyBorder="1" applyAlignment="1" applyProtection="1">
      <alignment vertical="center" wrapText="1"/>
      <protection locked="0"/>
    </xf>
    <xf numFmtId="49" fontId="22" fillId="39" borderId="12" xfId="0" applyNumberFormat="1" applyFont="1" applyFill="1" applyBorder="1" applyAlignment="1">
      <alignment horizontal="center" vertical="center"/>
    </xf>
    <xf numFmtId="1" fontId="22" fillId="39" borderId="12" xfId="0" applyNumberFormat="1" applyFont="1" applyFill="1" applyBorder="1" applyAlignment="1">
      <alignment horizontal="center" vertical="center"/>
    </xf>
    <xf numFmtId="167" fontId="22" fillId="36" borderId="12" xfId="44" applyNumberFormat="1" applyFont="1" applyFill="1" applyBorder="1" applyAlignment="1">
      <alignment horizontal="center" vertical="center" wrapText="1"/>
    </xf>
    <xf numFmtId="1" fontId="22" fillId="36" borderId="12" xfId="43" applyNumberFormat="1" applyFont="1" applyFill="1" applyBorder="1" applyAlignment="1">
      <alignment horizontal="center" vertical="center" wrapText="1"/>
    </xf>
    <xf numFmtId="167" fontId="22" fillId="36" borderId="12" xfId="44" applyNumberFormat="1" applyFont="1" applyFill="1" applyBorder="1" applyAlignment="1" applyProtection="1">
      <alignment horizontal="center" vertical="center" wrapText="1"/>
      <protection locked="0"/>
    </xf>
    <xf numFmtId="0" fontId="22" fillId="36" borderId="12" xfId="0" quotePrefix="1" applyFont="1" applyFill="1" applyBorder="1" applyAlignment="1">
      <alignment horizontal="center" vertical="center"/>
    </xf>
    <xf numFmtId="0" fontId="22" fillId="37" borderId="12" xfId="0" quotePrefix="1" applyNumberFormat="1" applyFont="1" applyFill="1" applyBorder="1" applyAlignment="1" applyProtection="1">
      <alignment horizontal="center" vertical="center" wrapText="1"/>
      <protection locked="0"/>
    </xf>
    <xf numFmtId="164" fontId="22" fillId="37" borderId="12" xfId="42" applyFont="1" applyFill="1" applyBorder="1" applyAlignment="1" applyProtection="1">
      <alignment horizontal="right" vertical="center" wrapText="1"/>
      <protection locked="0"/>
    </xf>
    <xf numFmtId="0" fontId="0" fillId="0" borderId="0" xfId="0" applyFill="1"/>
    <xf numFmtId="49" fontId="22" fillId="37" borderId="12" xfId="0" applyNumberFormat="1" applyFont="1" applyFill="1" applyBorder="1" applyAlignment="1" applyProtection="1">
      <alignment horizontal="center" vertical="center" wrapText="1"/>
    </xf>
    <xf numFmtId="165" fontId="22" fillId="37" borderId="12" xfId="0" applyNumberFormat="1" applyFont="1" applyFill="1" applyBorder="1" applyAlignment="1" applyProtection="1">
      <alignment horizontal="center" vertical="center" wrapText="1"/>
    </xf>
    <xf numFmtId="49" fontId="22" fillId="37" borderId="12" xfId="42" applyNumberFormat="1" applyFont="1" applyFill="1" applyBorder="1" applyAlignment="1" applyProtection="1">
      <alignment horizontal="center" vertical="center" wrapText="1"/>
    </xf>
    <xf numFmtId="4" fontId="22" fillId="37" borderId="12" xfId="42" applyNumberFormat="1" applyFont="1" applyFill="1" applyBorder="1" applyAlignment="1" applyProtection="1">
      <alignment horizontal="center" vertical="center" wrapText="1"/>
    </xf>
    <xf numFmtId="0" fontId="22" fillId="38" borderId="12" xfId="0" applyFont="1" applyFill="1" applyBorder="1" applyAlignment="1">
      <alignment horizontal="center" vertical="center" wrapText="1"/>
    </xf>
    <xf numFmtId="164" fontId="22" fillId="39" borderId="12" xfId="42" applyFont="1" applyFill="1" applyBorder="1" applyAlignment="1" applyProtection="1">
      <alignment horizontal="center" vertical="center" wrapText="1"/>
      <protection locked="0"/>
    </xf>
    <xf numFmtId="0" fontId="22" fillId="39" borderId="12" xfId="0" applyFont="1" applyFill="1" applyBorder="1" applyAlignment="1">
      <alignment horizontal="center" vertical="center"/>
    </xf>
    <xf numFmtId="0" fontId="22" fillId="39" borderId="12" xfId="0" applyFont="1" applyFill="1" applyBorder="1" applyAlignment="1">
      <alignment horizontal="left" vertical="center"/>
    </xf>
    <xf numFmtId="0" fontId="22" fillId="39" borderId="12" xfId="0" applyFont="1" applyFill="1" applyBorder="1" applyAlignment="1">
      <alignment vertical="center"/>
    </xf>
    <xf numFmtId="49" fontId="22" fillId="39" borderId="12" xfId="0" applyNumberFormat="1" applyFont="1" applyFill="1" applyBorder="1" applyAlignment="1">
      <alignment horizontal="center" vertical="center" wrapText="1"/>
    </xf>
    <xf numFmtId="0" fontId="22" fillId="39" borderId="12" xfId="0" applyFont="1" applyFill="1" applyBorder="1" applyAlignment="1">
      <alignment horizontal="center" vertical="center" wrapText="1"/>
    </xf>
    <xf numFmtId="0" fontId="22" fillId="40" borderId="12" xfId="0" applyFont="1" applyFill="1" applyBorder="1" applyAlignment="1" applyProtection="1">
      <alignment horizontal="center" vertical="center"/>
    </xf>
    <xf numFmtId="0" fontId="22" fillId="40" borderId="12" xfId="0" applyFont="1" applyFill="1" applyBorder="1" applyAlignment="1" applyProtection="1">
      <alignment horizontal="left" vertical="center" wrapText="1"/>
    </xf>
    <xf numFmtId="0" fontId="22" fillId="40" borderId="12" xfId="0" applyFont="1" applyFill="1" applyBorder="1" applyAlignment="1" applyProtection="1">
      <alignment horizontal="left" vertical="center"/>
    </xf>
    <xf numFmtId="0" fontId="22" fillId="40" borderId="12" xfId="0" applyFont="1" applyFill="1" applyBorder="1" applyAlignment="1" applyProtection="1">
      <alignment horizontal="center" vertical="center" wrapText="1"/>
    </xf>
    <xf numFmtId="49" fontId="22" fillId="40" borderId="12" xfId="0" applyNumberFormat="1" applyFont="1" applyFill="1" applyBorder="1" applyAlignment="1" applyProtection="1">
      <alignment vertical="center" wrapText="1"/>
      <protection locked="0"/>
    </xf>
    <xf numFmtId="49" fontId="22" fillId="40" borderId="12" xfId="0" applyNumberFormat="1" applyFont="1" applyFill="1" applyBorder="1" applyAlignment="1" applyProtection="1">
      <alignment horizontal="center" vertical="center" wrapText="1"/>
      <protection locked="0"/>
    </xf>
    <xf numFmtId="0" fontId="22" fillId="40" borderId="12" xfId="43" applyFont="1" applyFill="1" applyBorder="1" applyAlignment="1">
      <alignment horizontal="center" vertical="center"/>
    </xf>
    <xf numFmtId="1" fontId="22" fillId="40" borderId="12" xfId="0" applyNumberFormat="1" applyFont="1" applyFill="1" applyBorder="1" applyAlignment="1" applyProtection="1">
      <alignment horizontal="center" vertical="center" wrapText="1"/>
      <protection locked="0"/>
    </xf>
    <xf numFmtId="165" fontId="22" fillId="40" borderId="12" xfId="0" applyNumberFormat="1" applyFont="1" applyFill="1" applyBorder="1" applyAlignment="1" applyProtection="1">
      <alignment horizontal="center" vertical="center" wrapText="1"/>
      <protection locked="0"/>
    </xf>
    <xf numFmtId="0" fontId="22" fillId="40" borderId="12" xfId="0" applyFont="1" applyFill="1" applyBorder="1" applyAlignment="1" applyProtection="1">
      <alignment horizontal="center" vertical="center" wrapText="1"/>
      <protection locked="0"/>
    </xf>
    <xf numFmtId="164" fontId="22" fillId="40" borderId="12" xfId="42" applyFont="1" applyFill="1" applyBorder="1" applyAlignment="1" applyProtection="1">
      <alignment horizontal="center" vertical="center" wrapText="1"/>
      <protection locked="0"/>
    </xf>
    <xf numFmtId="14" fontId="22" fillId="40" borderId="12" xfId="0" applyNumberFormat="1" applyFont="1" applyFill="1" applyBorder="1" applyAlignment="1" applyProtection="1">
      <alignment horizontal="center" vertical="center" wrapText="1"/>
      <protection locked="0"/>
    </xf>
    <xf numFmtId="4" fontId="22" fillId="40" borderId="12" xfId="0" applyNumberFormat="1" applyFont="1" applyFill="1" applyBorder="1" applyAlignment="1" applyProtection="1">
      <alignment horizontal="center" vertical="center" wrapText="1"/>
      <protection locked="0"/>
    </xf>
    <xf numFmtId="0" fontId="22" fillId="40" borderId="12" xfId="0" applyFont="1" applyFill="1" applyBorder="1" applyAlignment="1">
      <alignment horizontal="center" vertical="center"/>
    </xf>
    <xf numFmtId="0" fontId="22" fillId="40" borderId="12" xfId="0" applyFont="1" applyFill="1" applyBorder="1" applyAlignment="1">
      <alignment horizontal="left" vertical="center"/>
    </xf>
    <xf numFmtId="0" fontId="22" fillId="40" borderId="12" xfId="0" applyFont="1" applyFill="1" applyBorder="1" applyAlignment="1">
      <alignment vertical="center" wrapText="1"/>
    </xf>
    <xf numFmtId="1" fontId="22" fillId="40" borderId="12" xfId="0" applyNumberFormat="1" applyFont="1" applyFill="1" applyBorder="1" applyAlignment="1">
      <alignment horizontal="center" vertical="center"/>
    </xf>
    <xf numFmtId="49" fontId="22" fillId="40" borderId="12" xfId="0" applyNumberFormat="1" applyFont="1" applyFill="1" applyBorder="1" applyAlignment="1">
      <alignment horizontal="center" vertical="center" wrapText="1"/>
    </xf>
    <xf numFmtId="0" fontId="22" fillId="40" borderId="12" xfId="0" applyFont="1" applyFill="1" applyBorder="1" applyAlignment="1">
      <alignment horizontal="center" vertical="center" wrapText="1"/>
    </xf>
    <xf numFmtId="164" fontId="22" fillId="40" borderId="12" xfId="42" applyFont="1" applyFill="1" applyBorder="1" applyAlignment="1">
      <alignment horizontal="center" vertical="center"/>
    </xf>
    <xf numFmtId="0" fontId="22" fillId="0" borderId="12" xfId="0" applyFont="1" applyFill="1" applyBorder="1" applyAlignment="1" applyProtection="1">
      <alignment horizontal="left" vertical="center" wrapText="1"/>
    </xf>
    <xf numFmtId="0" fontId="22" fillId="0" borderId="12" xfId="0" applyFont="1" applyFill="1" applyBorder="1" applyAlignment="1" applyProtection="1">
      <alignment horizontal="left" vertical="center"/>
    </xf>
    <xf numFmtId="49" fontId="22" fillId="0" borderId="12" xfId="0" applyNumberFormat="1" applyFont="1" applyFill="1" applyBorder="1" applyAlignment="1" applyProtection="1">
      <alignment vertical="center" wrapText="1"/>
      <protection locked="0"/>
    </xf>
    <xf numFmtId="1" fontId="22" fillId="0" borderId="12" xfId="0" applyNumberFormat="1" applyFont="1" applyFill="1" applyBorder="1" applyAlignment="1" applyProtection="1">
      <alignment horizontal="center" vertical="center" wrapText="1"/>
      <protection locked="0"/>
    </xf>
    <xf numFmtId="165" fontId="22" fillId="0" borderId="12" xfId="0" applyNumberFormat="1" applyFont="1" applyFill="1" applyBorder="1" applyAlignment="1" applyProtection="1">
      <alignment horizontal="center" vertical="center" wrapText="1"/>
      <protection locked="0"/>
    </xf>
    <xf numFmtId="0" fontId="22" fillId="0" borderId="12" xfId="0" applyFont="1" applyFill="1" applyBorder="1" applyAlignment="1" applyProtection="1">
      <alignment horizontal="center" vertical="center" wrapText="1"/>
      <protection locked="0"/>
    </xf>
    <xf numFmtId="164" fontId="22" fillId="0" borderId="12" xfId="42" applyFont="1" applyFill="1" applyBorder="1" applyAlignment="1" applyProtection="1">
      <alignment horizontal="right" vertical="center" wrapText="1"/>
      <protection locked="0"/>
    </xf>
    <xf numFmtId="14" fontId="22" fillId="0" borderId="12" xfId="0" applyNumberFormat="1" applyFont="1" applyFill="1" applyBorder="1" applyAlignment="1" applyProtection="1">
      <alignment horizontal="center" vertical="center" wrapText="1"/>
      <protection locked="0"/>
    </xf>
    <xf numFmtId="4" fontId="22" fillId="0" borderId="12" xfId="0" applyNumberFormat="1" applyFont="1" applyFill="1" applyBorder="1" applyAlignment="1" applyProtection="1">
      <alignment horizontal="center" vertical="center" wrapText="1"/>
      <protection locked="0"/>
    </xf>
    <xf numFmtId="0" fontId="22" fillId="41" borderId="12" xfId="0" applyFont="1" applyFill="1" applyBorder="1" applyAlignment="1" applyProtection="1">
      <alignment horizontal="center" vertical="center"/>
    </xf>
    <xf numFmtId="0" fontId="22" fillId="41" borderId="12" xfId="0" applyFont="1" applyFill="1" applyBorder="1" applyAlignment="1">
      <alignment horizontal="center" vertical="center"/>
    </xf>
    <xf numFmtId="0" fontId="22" fillId="41" borderId="12" xfId="0" applyFont="1" applyFill="1" applyBorder="1" applyAlignment="1" applyProtection="1">
      <alignment horizontal="left" vertical="center" wrapText="1"/>
    </xf>
    <xf numFmtId="0" fontId="22" fillId="41" borderId="12" xfId="0" applyFont="1" applyFill="1" applyBorder="1" applyAlignment="1" applyProtection="1">
      <alignment horizontal="left" vertical="center"/>
    </xf>
    <xf numFmtId="49" fontId="22" fillId="41" borderId="12" xfId="0" applyNumberFormat="1" applyFont="1" applyFill="1" applyBorder="1" applyAlignment="1" applyProtection="1">
      <alignment vertical="center" wrapText="1"/>
      <protection locked="0"/>
    </xf>
    <xf numFmtId="49" fontId="22" fillId="41" borderId="12" xfId="0" applyNumberFormat="1" applyFont="1" applyFill="1" applyBorder="1" applyAlignment="1" applyProtection="1">
      <alignment horizontal="center" vertical="center" wrapText="1"/>
      <protection locked="0"/>
    </xf>
    <xf numFmtId="0" fontId="22" fillId="41" borderId="12" xfId="43" applyFont="1" applyFill="1" applyBorder="1" applyAlignment="1">
      <alignment horizontal="center" vertical="center"/>
    </xf>
    <xf numFmtId="1" fontId="22" fillId="41" borderId="12" xfId="0" applyNumberFormat="1" applyFont="1" applyFill="1" applyBorder="1" applyAlignment="1" applyProtection="1">
      <alignment horizontal="center" vertical="center" wrapText="1"/>
      <protection locked="0"/>
    </xf>
    <xf numFmtId="165" fontId="22" fillId="41" borderId="12" xfId="0" applyNumberFormat="1" applyFont="1" applyFill="1" applyBorder="1" applyAlignment="1" applyProtection="1">
      <alignment horizontal="center" vertical="center" wrapText="1"/>
      <protection locked="0"/>
    </xf>
    <xf numFmtId="0" fontId="22" fillId="41" borderId="12" xfId="0" applyNumberFormat="1" applyFont="1" applyFill="1" applyBorder="1" applyAlignment="1" applyProtection="1">
      <alignment horizontal="center" vertical="center" wrapText="1"/>
      <protection locked="0"/>
    </xf>
    <xf numFmtId="0" fontId="22" fillId="41" borderId="12" xfId="0" applyFont="1" applyFill="1" applyBorder="1" applyAlignment="1" applyProtection="1">
      <alignment horizontal="center" vertical="center" wrapText="1"/>
      <protection locked="0"/>
    </xf>
    <xf numFmtId="164" fontId="22" fillId="41" borderId="12" xfId="42" applyFont="1" applyFill="1" applyBorder="1" applyAlignment="1" applyProtection="1">
      <alignment horizontal="center" vertical="center" wrapText="1"/>
      <protection locked="0"/>
    </xf>
    <xf numFmtId="14" fontId="22" fillId="41" borderId="12" xfId="0" applyNumberFormat="1" applyFont="1" applyFill="1" applyBorder="1" applyAlignment="1" applyProtection="1">
      <alignment horizontal="center" vertical="center" wrapText="1"/>
      <protection locked="0"/>
    </xf>
    <xf numFmtId="4" fontId="22" fillId="41" borderId="12" xfId="0" applyNumberFormat="1" applyFont="1" applyFill="1" applyBorder="1" applyAlignment="1" applyProtection="1">
      <alignment horizontal="center" vertical="center" wrapText="1"/>
      <protection locked="0"/>
    </xf>
    <xf numFmtId="0" fontId="22" fillId="41" borderId="12" xfId="0" applyFont="1" applyFill="1" applyBorder="1" applyAlignment="1" applyProtection="1">
      <alignment horizontal="center" vertical="center" wrapText="1"/>
    </xf>
    <xf numFmtId="164" fontId="22" fillId="41" borderId="12" xfId="42" applyFont="1" applyFill="1" applyBorder="1" applyAlignment="1">
      <alignment horizontal="center" vertical="center"/>
    </xf>
    <xf numFmtId="0" fontId="22" fillId="42" borderId="12" xfId="0" applyFont="1" applyFill="1" applyBorder="1" applyAlignment="1" applyProtection="1">
      <alignment horizontal="center" vertical="center"/>
    </xf>
    <xf numFmtId="0" fontId="22" fillId="42" borderId="12" xfId="0" applyFont="1" applyFill="1" applyBorder="1" applyAlignment="1" applyProtection="1">
      <alignment horizontal="center" vertical="center" wrapText="1"/>
    </xf>
    <xf numFmtId="0" fontId="22" fillId="42" borderId="12" xfId="0" applyFont="1" applyFill="1" applyBorder="1" applyAlignment="1" applyProtection="1">
      <alignment horizontal="left" vertical="center" wrapText="1"/>
    </xf>
    <xf numFmtId="0" fontId="22" fillId="42" borderId="12" xfId="0" applyFont="1" applyFill="1" applyBorder="1" applyAlignment="1" applyProtection="1">
      <alignment horizontal="left" vertical="center"/>
    </xf>
    <xf numFmtId="49" fontId="22" fillId="42" borderId="12" xfId="0" applyNumberFormat="1" applyFont="1" applyFill="1" applyBorder="1" applyAlignment="1" applyProtection="1">
      <alignment vertical="center" wrapText="1"/>
      <protection locked="0"/>
    </xf>
    <xf numFmtId="49" fontId="22" fillId="42" borderId="12" xfId="0" applyNumberFormat="1" applyFont="1" applyFill="1" applyBorder="1" applyAlignment="1" applyProtection="1">
      <alignment horizontal="center" vertical="center" wrapText="1"/>
      <protection locked="0"/>
    </xf>
    <xf numFmtId="0" fontId="22" fillId="42" borderId="12" xfId="43" applyFont="1" applyFill="1" applyBorder="1" applyAlignment="1">
      <alignment horizontal="center" vertical="center"/>
    </xf>
    <xf numFmtId="1" fontId="22" fillId="42" borderId="12" xfId="0" applyNumberFormat="1" applyFont="1" applyFill="1" applyBorder="1" applyAlignment="1" applyProtection="1">
      <alignment horizontal="center" vertical="center" wrapText="1"/>
      <protection locked="0"/>
    </xf>
    <xf numFmtId="165" fontId="22" fillId="42" borderId="12" xfId="0" applyNumberFormat="1" applyFont="1" applyFill="1" applyBorder="1" applyAlignment="1" applyProtection="1">
      <alignment horizontal="center" vertical="center" wrapText="1"/>
      <protection locked="0"/>
    </xf>
    <xf numFmtId="0" fontId="22" fillId="42" borderId="12" xfId="0" applyNumberFormat="1" applyFont="1" applyFill="1" applyBorder="1" applyAlignment="1" applyProtection="1">
      <alignment horizontal="center" vertical="center" wrapText="1"/>
      <protection locked="0"/>
    </xf>
    <xf numFmtId="0" fontId="22" fillId="42" borderId="12" xfId="0" applyFont="1" applyFill="1" applyBorder="1" applyAlignment="1" applyProtection="1">
      <alignment horizontal="center" vertical="center" wrapText="1"/>
      <protection locked="0"/>
    </xf>
    <xf numFmtId="164" fontId="22" fillId="42" borderId="12" xfId="42" applyFont="1" applyFill="1" applyBorder="1" applyAlignment="1">
      <alignment horizontal="center" vertical="center"/>
    </xf>
    <xf numFmtId="14" fontId="22" fillId="42" borderId="12" xfId="0" applyNumberFormat="1" applyFont="1" applyFill="1" applyBorder="1" applyAlignment="1" applyProtection="1">
      <alignment horizontal="center" vertical="center" wrapText="1"/>
      <protection locked="0"/>
    </xf>
    <xf numFmtId="4" fontId="22" fillId="42" borderId="12" xfId="0" applyNumberFormat="1" applyFont="1" applyFill="1" applyBorder="1" applyAlignment="1" applyProtection="1">
      <alignment horizontal="center" vertical="center" wrapText="1"/>
      <protection locked="0"/>
    </xf>
    <xf numFmtId="49" fontId="22" fillId="42" borderId="12" xfId="0" quotePrefix="1" applyNumberFormat="1" applyFont="1" applyFill="1" applyBorder="1" applyAlignment="1" applyProtection="1">
      <alignment horizontal="center" vertical="center" wrapText="1"/>
      <protection locked="0"/>
    </xf>
    <xf numFmtId="0" fontId="22" fillId="42" borderId="12" xfId="0" applyFont="1" applyFill="1" applyBorder="1" applyAlignment="1">
      <alignment horizontal="center" vertical="center"/>
    </xf>
    <xf numFmtId="0" fontId="22" fillId="43" borderId="12" xfId="0" applyFont="1" applyFill="1" applyBorder="1" applyAlignment="1" applyProtection="1">
      <alignment horizontal="center" vertical="center"/>
    </xf>
    <xf numFmtId="0" fontId="22" fillId="43" borderId="12" xfId="0" applyFont="1" applyFill="1" applyBorder="1" applyAlignment="1" applyProtection="1">
      <alignment horizontal="center" vertical="center" wrapText="1"/>
    </xf>
    <xf numFmtId="0" fontId="22" fillId="43" borderId="12" xfId="0" applyFont="1" applyFill="1" applyBorder="1" applyAlignment="1" applyProtection="1">
      <alignment horizontal="left" vertical="center" wrapText="1"/>
    </xf>
    <xf numFmtId="0" fontId="22" fillId="43" borderId="12" xfId="0" applyFont="1" applyFill="1" applyBorder="1" applyAlignment="1" applyProtection="1">
      <alignment horizontal="left" vertical="center"/>
    </xf>
    <xf numFmtId="49" fontId="22" fillId="43" borderId="12" xfId="0" applyNumberFormat="1" applyFont="1" applyFill="1" applyBorder="1" applyAlignment="1" applyProtection="1">
      <alignment vertical="center" wrapText="1"/>
      <protection locked="0"/>
    </xf>
    <xf numFmtId="49" fontId="22" fillId="43" borderId="12" xfId="0" applyNumberFormat="1" applyFont="1" applyFill="1" applyBorder="1" applyAlignment="1" applyProtection="1">
      <alignment horizontal="center" vertical="center" wrapText="1"/>
      <protection locked="0"/>
    </xf>
    <xf numFmtId="0" fontId="22" fillId="43" borderId="12" xfId="43" applyFont="1" applyFill="1" applyBorder="1" applyAlignment="1">
      <alignment horizontal="center" vertical="center"/>
    </xf>
    <xf numFmtId="1" fontId="22" fillId="43" borderId="12" xfId="0" applyNumberFormat="1" applyFont="1" applyFill="1" applyBorder="1" applyAlignment="1" applyProtection="1">
      <alignment horizontal="center" vertical="center" wrapText="1"/>
      <protection locked="0"/>
    </xf>
    <xf numFmtId="165" fontId="22" fillId="43" borderId="12" xfId="0" applyNumberFormat="1" applyFont="1" applyFill="1" applyBorder="1" applyAlignment="1" applyProtection="1">
      <alignment horizontal="center" vertical="center" wrapText="1"/>
      <protection locked="0"/>
    </xf>
    <xf numFmtId="0" fontId="22" fillId="43" borderId="12" xfId="0" applyFont="1" applyFill="1" applyBorder="1" applyAlignment="1" applyProtection="1">
      <alignment horizontal="center" vertical="center" wrapText="1"/>
      <protection locked="0"/>
    </xf>
    <xf numFmtId="164" fontId="22" fillId="43" borderId="12" xfId="42" applyFont="1" applyFill="1" applyBorder="1" applyAlignment="1">
      <alignment horizontal="center" vertical="center"/>
    </xf>
    <xf numFmtId="14" fontId="22" fillId="43" borderId="12" xfId="0" applyNumberFormat="1" applyFont="1" applyFill="1" applyBorder="1" applyAlignment="1" applyProtection="1">
      <alignment horizontal="center" vertical="center" wrapText="1"/>
      <protection locked="0"/>
    </xf>
    <xf numFmtId="4" fontId="22" fillId="43" borderId="12" xfId="0" applyNumberFormat="1" applyFont="1" applyFill="1" applyBorder="1" applyAlignment="1" applyProtection="1">
      <alignment horizontal="center" vertical="center" wrapText="1"/>
      <protection locked="0"/>
    </xf>
    <xf numFmtId="0" fontId="22" fillId="43" borderId="12" xfId="0" applyNumberFormat="1" applyFont="1" applyFill="1" applyBorder="1" applyAlignment="1" applyProtection="1">
      <alignment horizontal="center" vertical="center" wrapText="1"/>
      <protection locked="0"/>
    </xf>
    <xf numFmtId="0" fontId="22" fillId="43" borderId="12" xfId="0" quotePrefix="1" applyFont="1" applyFill="1" applyBorder="1" applyAlignment="1">
      <alignment horizontal="center" vertical="center"/>
    </xf>
    <xf numFmtId="0" fontId="22" fillId="43" borderId="12" xfId="0" applyFont="1" applyFill="1" applyBorder="1" applyAlignment="1">
      <alignment vertical="center" wrapText="1"/>
    </xf>
    <xf numFmtId="0" fontId="22" fillId="43" borderId="12" xfId="0" applyFont="1" applyFill="1" applyBorder="1" applyAlignment="1">
      <alignment wrapText="1"/>
    </xf>
    <xf numFmtId="164" fontId="22" fillId="36" borderId="12" xfId="42" applyFont="1" applyFill="1" applyBorder="1" applyAlignment="1" applyProtection="1">
      <alignment horizontal="center" vertical="center" wrapText="1"/>
      <protection locked="0"/>
    </xf>
    <xf numFmtId="0" fontId="24" fillId="36" borderId="12" xfId="0" applyFont="1" applyFill="1" applyBorder="1" applyAlignment="1">
      <alignment horizontal="center" vertical="center"/>
    </xf>
    <xf numFmtId="0" fontId="22" fillId="36" borderId="12" xfId="0" applyFont="1" applyFill="1" applyBorder="1" applyAlignment="1">
      <alignment horizontal="left" vertical="center"/>
    </xf>
    <xf numFmtId="0" fontId="22" fillId="36" borderId="12" xfId="0" applyFont="1" applyFill="1" applyBorder="1" applyAlignment="1">
      <alignment horizontal="center" vertical="center"/>
    </xf>
    <xf numFmtId="0" fontId="22" fillId="36" borderId="12" xfId="0" applyFont="1" applyFill="1" applyBorder="1" applyAlignment="1">
      <alignment vertical="center" wrapText="1"/>
    </xf>
    <xf numFmtId="49" fontId="22" fillId="36" borderId="12" xfId="0" applyNumberFormat="1" applyFont="1" applyFill="1" applyBorder="1" applyAlignment="1">
      <alignment horizontal="center" vertical="center" wrapText="1"/>
    </xf>
    <xf numFmtId="0" fontId="22" fillId="36" borderId="12" xfId="0" applyFont="1" applyFill="1" applyBorder="1" applyAlignment="1">
      <alignment horizontal="center" vertical="center" wrapText="1"/>
    </xf>
    <xf numFmtId="0" fontId="0" fillId="40" borderId="12" xfId="0" applyFill="1" applyBorder="1"/>
    <xf numFmtId="49" fontId="22" fillId="40" borderId="12" xfId="0" applyNumberFormat="1" applyFont="1" applyFill="1" applyBorder="1" applyAlignment="1">
      <alignment horizontal="center" vertical="center"/>
    </xf>
    <xf numFmtId="0" fontId="22" fillId="40" borderId="12" xfId="0" applyNumberFormat="1" applyFont="1" applyFill="1" applyBorder="1" applyAlignment="1" applyProtection="1">
      <alignment horizontal="center" vertical="center" wrapText="1"/>
      <protection locked="0"/>
    </xf>
    <xf numFmtId="0" fontId="22" fillId="40" borderId="12" xfId="0" quotePrefix="1" applyNumberFormat="1" applyFont="1" applyFill="1" applyBorder="1" applyAlignment="1" applyProtection="1">
      <alignment horizontal="center" vertical="center" wrapText="1"/>
      <protection locked="0"/>
    </xf>
    <xf numFmtId="0" fontId="22" fillId="40" borderId="12" xfId="0" applyFont="1" applyFill="1" applyBorder="1" applyAlignment="1">
      <alignment vertical="center"/>
    </xf>
    <xf numFmtId="168" fontId="22" fillId="36" borderId="12" xfId="43" applyNumberFormat="1" applyFont="1" applyFill="1" applyBorder="1" applyAlignment="1">
      <alignment horizontal="left" vertical="center" wrapText="1"/>
    </xf>
    <xf numFmtId="0" fontId="22" fillId="36" borderId="12" xfId="0" applyFont="1" applyFill="1" applyBorder="1" applyAlignment="1">
      <alignment vertical="top"/>
    </xf>
    <xf numFmtId="0" fontId="22" fillId="36" borderId="12" xfId="0" applyFont="1" applyFill="1" applyBorder="1" applyAlignment="1">
      <alignment vertical="center"/>
    </xf>
    <xf numFmtId="0" fontId="22" fillId="36" borderId="12" xfId="0" applyFont="1" applyFill="1" applyBorder="1" applyAlignment="1">
      <alignment horizontal="left" vertical="center" wrapText="1"/>
    </xf>
    <xf numFmtId="0" fontId="22" fillId="0" borderId="12" xfId="0" applyFont="1" applyBorder="1" applyAlignment="1">
      <alignment horizontal="center" vertical="center"/>
    </xf>
    <xf numFmtId="0" fontId="22" fillId="0" borderId="12" xfId="0" applyFont="1" applyBorder="1" applyAlignment="1">
      <alignment horizontal="left" vertical="center"/>
    </xf>
    <xf numFmtId="0" fontId="22" fillId="0" borderId="12" xfId="0" applyFont="1" applyBorder="1" applyAlignment="1">
      <alignment vertical="center" wrapText="1"/>
    </xf>
    <xf numFmtId="49" fontId="22" fillId="0" borderId="12" xfId="0" applyNumberFormat="1" applyFont="1" applyBorder="1" applyAlignment="1" applyProtection="1">
      <alignment horizontal="center" vertical="center" wrapText="1"/>
      <protection locked="0"/>
    </xf>
    <xf numFmtId="0" fontId="22" fillId="0" borderId="12" xfId="43" applyFont="1" applyBorder="1" applyAlignment="1">
      <alignment horizontal="center" vertical="center"/>
    </xf>
    <xf numFmtId="1" fontId="22" fillId="0" borderId="12" xfId="0" applyNumberFormat="1" applyFont="1" applyBorder="1" applyAlignment="1">
      <alignment horizontal="center" vertical="center"/>
    </xf>
    <xf numFmtId="1" fontId="22" fillId="0" borderId="12" xfId="0" applyNumberFormat="1" applyFont="1" applyBorder="1" applyAlignment="1" applyProtection="1">
      <alignment horizontal="center" vertical="center" wrapText="1"/>
      <protection locked="0"/>
    </xf>
    <xf numFmtId="165" fontId="22" fillId="0" borderId="12" xfId="0" applyNumberFormat="1" applyFont="1" applyBorder="1" applyAlignment="1" applyProtection="1">
      <alignment horizontal="center" vertical="center" wrapText="1"/>
      <protection locked="0"/>
    </xf>
    <xf numFmtId="49" fontId="22" fillId="0" borderId="12" xfId="0" applyNumberFormat="1" applyFont="1" applyBorder="1" applyAlignment="1">
      <alignment horizontal="center" vertical="center" wrapText="1"/>
    </xf>
    <xf numFmtId="0" fontId="22" fillId="0" borderId="12" xfId="0" applyFont="1" applyBorder="1" applyAlignment="1">
      <alignment horizontal="center" vertical="center" wrapText="1"/>
    </xf>
    <xf numFmtId="164" fontId="22" fillId="0" borderId="12" xfId="42" applyFont="1" applyBorder="1" applyAlignment="1">
      <alignment horizontal="center" vertical="center"/>
    </xf>
    <xf numFmtId="0" fontId="22" fillId="0" borderId="0" xfId="0" applyFont="1" applyFill="1" applyBorder="1" applyAlignment="1" applyProtection="1">
      <alignment horizontal="center" vertical="center"/>
    </xf>
    <xf numFmtId="49" fontId="22" fillId="0" borderId="0" xfId="0" applyNumberFormat="1" applyFont="1" applyFill="1" applyBorder="1" applyAlignment="1" applyProtection="1">
      <alignment vertical="center" wrapText="1"/>
      <protection locked="0"/>
    </xf>
    <xf numFmtId="49" fontId="22" fillId="0" borderId="0" xfId="0" applyNumberFormat="1" applyFont="1" applyFill="1" applyBorder="1" applyAlignment="1" applyProtection="1">
      <alignment horizontal="center" vertical="center" wrapText="1"/>
      <protection locked="0"/>
    </xf>
    <xf numFmtId="1" fontId="22" fillId="0" borderId="0" xfId="0" applyNumberFormat="1" applyFont="1" applyFill="1" applyBorder="1" applyAlignment="1" applyProtection="1">
      <alignment horizontal="center" vertical="center" wrapText="1"/>
      <protection locked="0"/>
    </xf>
    <xf numFmtId="165" fontId="22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22" fillId="0" borderId="0" xfId="0" applyFont="1" applyFill="1" applyBorder="1" applyAlignment="1" applyProtection="1">
      <alignment horizontal="center" vertical="center" wrapText="1"/>
      <protection locked="0"/>
    </xf>
    <xf numFmtId="164" fontId="22" fillId="0" borderId="0" xfId="42" applyFont="1" applyFill="1" applyBorder="1" applyAlignment="1" applyProtection="1">
      <alignment horizontal="center" vertical="center" wrapText="1"/>
      <protection locked="0"/>
    </xf>
    <xf numFmtId="14" fontId="22" fillId="0" borderId="0" xfId="0" applyNumberFormat="1" applyFont="1" applyFill="1" applyBorder="1" applyAlignment="1" applyProtection="1">
      <alignment horizontal="center" vertical="center" wrapText="1"/>
      <protection locked="0"/>
    </xf>
    <xf numFmtId="4" fontId="22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0" fillId="34" borderId="11" xfId="0" applyFill="1" applyBorder="1" applyAlignment="1">
      <alignment wrapText="1"/>
    </xf>
    <xf numFmtId="0" fontId="0" fillId="34" borderId="0" xfId="0" applyFill="1" applyAlignment="1">
      <alignment wrapText="1"/>
    </xf>
    <xf numFmtId="0" fontId="20" fillId="34" borderId="11" xfId="0" applyFont="1" applyFill="1" applyBorder="1" applyAlignment="1">
      <alignment horizontal="center" wrapText="1"/>
    </xf>
    <xf numFmtId="0" fontId="20" fillId="34" borderId="0" xfId="0" applyFont="1" applyFill="1" applyAlignment="1">
      <alignment horizontal="center" wrapText="1"/>
    </xf>
  </cellXfs>
  <cellStyles count="46">
    <cellStyle name="20% - Έμφαση1" xfId="19" builtinId="30" customBuiltin="1"/>
    <cellStyle name="20% - Έμφαση2" xfId="23" builtinId="34" customBuiltin="1"/>
    <cellStyle name="20% - Έμφαση3" xfId="27" builtinId="38" customBuiltin="1"/>
    <cellStyle name="20% - Έμφαση4" xfId="31" builtinId="42" customBuiltin="1"/>
    <cellStyle name="20% - Έμφαση5" xfId="35" builtinId="46" customBuiltin="1"/>
    <cellStyle name="20% - Έμφαση6" xfId="39" builtinId="50" customBuiltin="1"/>
    <cellStyle name="40% - Έμφαση1" xfId="20" builtinId="31" customBuiltin="1"/>
    <cellStyle name="40% - Έμφαση2" xfId="24" builtinId="35" customBuiltin="1"/>
    <cellStyle name="40% - Έμφαση3" xfId="28" builtinId="39" customBuiltin="1"/>
    <cellStyle name="40% - Έμφαση4" xfId="32" builtinId="43" customBuiltin="1"/>
    <cellStyle name="40% - Έμφαση5" xfId="36" builtinId="47" customBuiltin="1"/>
    <cellStyle name="40% - Έμφαση6" xfId="40" builtinId="51" customBuiltin="1"/>
    <cellStyle name="60% - Έμφαση1" xfId="21" builtinId="32" customBuiltin="1"/>
    <cellStyle name="60% - Έμφαση2" xfId="25" builtinId="36" customBuiltin="1"/>
    <cellStyle name="60% - Έμφαση3" xfId="29" builtinId="40" customBuiltin="1"/>
    <cellStyle name="60% - Έμφαση4" xfId="33" builtinId="44" customBuiltin="1"/>
    <cellStyle name="60% - Έμφαση5" xfId="37" builtinId="48" customBuiltin="1"/>
    <cellStyle name="60% - Έμφαση6" xfId="41" builtinId="52" customBuiltin="1"/>
    <cellStyle name="Comma 2" xfId="44"/>
    <cellStyle name="Normal 3" xfId="45"/>
    <cellStyle name="Normal 5" xfId="43"/>
    <cellStyle name="Εισαγωγή" xfId="9" builtinId="20" customBuiltin="1"/>
    <cellStyle name="Έλεγχος κελιού" xfId="13" builtinId="23" customBuiltin="1"/>
    <cellStyle name="Έμφαση1" xfId="18" builtinId="29" customBuiltin="1"/>
    <cellStyle name="Έμφαση2" xfId="22" builtinId="33" customBuiltin="1"/>
    <cellStyle name="Έμφαση3" xfId="26" builtinId="37" customBuiltin="1"/>
    <cellStyle name="Έμφαση4" xfId="30" builtinId="41" customBuiltin="1"/>
    <cellStyle name="Έμφαση5" xfId="34" builtinId="45" customBuiltin="1"/>
    <cellStyle name="Έμφαση6" xfId="38" builtinId="49" customBuiltin="1"/>
    <cellStyle name="Έξοδος" xfId="10" builtinId="21" customBuiltin="1"/>
    <cellStyle name="Επεξηγηματικό κείμενο" xfId="16" builtinId="53" customBuiltin="1"/>
    <cellStyle name="Επικεφαλίδα 1" xfId="2" builtinId="16" customBuiltin="1"/>
    <cellStyle name="Επικεφαλίδα 2" xfId="3" builtinId="17" customBuiltin="1"/>
    <cellStyle name="Επικεφαλίδα 3" xfId="4" builtinId="18" customBuiltin="1"/>
    <cellStyle name="Επικεφαλίδα 4" xfId="5" builtinId="19" customBuiltin="1"/>
    <cellStyle name="Κακό" xfId="7" builtinId="27" customBuiltin="1"/>
    <cellStyle name="Καλό" xfId="6" builtinId="26" customBuiltin="1"/>
    <cellStyle name="Κανονικό" xfId="0" builtinId="0"/>
    <cellStyle name="Νομισματική μονάδα" xfId="42" builtinId="4"/>
    <cellStyle name="Ουδέτερο" xfId="8" builtinId="28" customBuiltin="1"/>
    <cellStyle name="Προειδοποιητικό κείμενο" xfId="14" builtinId="11" customBuiltin="1"/>
    <cellStyle name="Σημείωση" xfId="15" builtinId="10" customBuiltin="1"/>
    <cellStyle name="Συνδεδεμένο κελί" xfId="12" builtinId="24" customBuiltin="1"/>
    <cellStyle name="Σύνολο" xfId="17" builtinId="25" customBuiltin="1"/>
    <cellStyle name="Τίτλος" xfId="1" builtinId="15" customBuiltin="1"/>
    <cellStyle name="Υπολογισμός" xfId="11" builtinId="22" customBuiltin="1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92"/>
  <sheetViews>
    <sheetView showGridLines="0" workbookViewId="0">
      <selection activeCell="Y17" sqref="Y17"/>
    </sheetView>
  </sheetViews>
  <sheetFormatPr defaultRowHeight="15" x14ac:dyDescent="0.25"/>
  <cols>
    <col min="1" max="1" width="23.28515625" bestFit="1" customWidth="1"/>
    <col min="2" max="2" width="36.5703125" bestFit="1" customWidth="1"/>
    <col min="3" max="3" width="17.85546875" bestFit="1" customWidth="1"/>
    <col min="4" max="4" width="9.7109375" bestFit="1" customWidth="1"/>
    <col min="5" max="5" width="27.85546875" bestFit="1" customWidth="1"/>
    <col min="6" max="6" width="16" bestFit="1" customWidth="1"/>
    <col min="7" max="7" width="15.85546875" bestFit="1" customWidth="1"/>
    <col min="8" max="8" width="15" bestFit="1" customWidth="1"/>
    <col min="9" max="9" width="36.5703125" bestFit="1" customWidth="1"/>
    <col min="10" max="10" width="4.5703125" customWidth="1"/>
    <col min="11" max="11" width="36.5703125" bestFit="1" customWidth="1"/>
    <col min="12" max="12" width="7.5703125" customWidth="1"/>
    <col min="13" max="13" width="13.42578125" bestFit="1" customWidth="1"/>
    <col min="14" max="14" width="4.5703125" customWidth="1"/>
    <col min="18" max="18" width="14.85546875" bestFit="1" customWidth="1"/>
    <col min="20" max="20" width="11.140625" bestFit="1" customWidth="1"/>
    <col min="21" max="21" width="12.140625" bestFit="1" customWidth="1"/>
    <col min="22" max="22" width="18.7109375" bestFit="1" customWidth="1"/>
    <col min="23" max="23" width="17.85546875" bestFit="1" customWidth="1"/>
    <col min="24" max="24" width="12" bestFit="1" customWidth="1"/>
    <col min="25" max="25" width="12.42578125" bestFit="1" customWidth="1"/>
    <col min="26" max="26" width="14" bestFit="1" customWidth="1"/>
    <col min="27" max="27" width="18.28515625" bestFit="1" customWidth="1"/>
    <col min="28" max="28" width="13.85546875" bestFit="1" customWidth="1"/>
    <col min="29" max="29" width="18" bestFit="1" customWidth="1"/>
  </cols>
  <sheetData>
    <row r="1" spans="1:29" ht="12.2" customHeight="1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1"/>
      <c r="P1" s="1"/>
      <c r="Q1" s="1"/>
      <c r="R1" s="2" t="s">
        <v>14</v>
      </c>
      <c r="S1" s="1"/>
      <c r="T1" s="2" t="s">
        <v>15</v>
      </c>
      <c r="U1" s="2" t="s">
        <v>16</v>
      </c>
      <c r="V1" s="2" t="s">
        <v>17</v>
      </c>
      <c r="W1" s="2" t="s">
        <v>18</v>
      </c>
      <c r="X1" s="2" t="s">
        <v>19</v>
      </c>
      <c r="Y1" s="2" t="s">
        <v>20</v>
      </c>
      <c r="Z1" s="2" t="s">
        <v>21</v>
      </c>
      <c r="AA1" s="2" t="s">
        <v>22</v>
      </c>
      <c r="AB1" s="2" t="s">
        <v>23</v>
      </c>
      <c r="AC1" s="2" t="s">
        <v>24</v>
      </c>
    </row>
    <row r="2" spans="1:29" ht="14.45" customHeight="1" x14ac:dyDescent="0.25">
      <c r="A2" s="4" t="s">
        <v>25</v>
      </c>
      <c r="B2" s="4" t="s">
        <v>26</v>
      </c>
      <c r="C2" s="4" t="s">
        <v>27</v>
      </c>
      <c r="D2" s="4" t="s">
        <v>28</v>
      </c>
      <c r="E2" s="4" t="s">
        <v>29</v>
      </c>
      <c r="F2" s="4" t="s">
        <v>30</v>
      </c>
      <c r="G2" s="4" t="s">
        <v>30</v>
      </c>
      <c r="H2" s="4" t="s">
        <v>31</v>
      </c>
      <c r="I2" s="4" t="s">
        <v>32</v>
      </c>
      <c r="J2" s="4" t="str">
        <f>"4440SB0003011"</f>
        <v>4440SB0003011</v>
      </c>
      <c r="K2" s="4" t="s">
        <v>33</v>
      </c>
      <c r="L2" s="4" t="str">
        <f>""</f>
        <v/>
      </c>
      <c r="M2" s="4" t="str">
        <f>""</f>
        <v/>
      </c>
      <c r="N2" s="4" t="s">
        <v>34</v>
      </c>
      <c r="O2" s="3"/>
      <c r="P2" s="3"/>
      <c r="Q2" s="3"/>
      <c r="R2" s="4" t="s">
        <v>35</v>
      </c>
      <c r="S2" s="3"/>
      <c r="T2" s="4" t="str">
        <f>"23740"</f>
        <v>23740</v>
      </c>
      <c r="U2" s="4" t="str">
        <f>"01-114144"</f>
        <v>01-114144</v>
      </c>
      <c r="V2" s="4" t="str">
        <f>"0049"</f>
        <v>0049</v>
      </c>
      <c r="W2" s="4" t="s">
        <v>36</v>
      </c>
      <c r="X2" s="4" t="str">
        <f>"0F960"</f>
        <v>0F960</v>
      </c>
      <c r="Y2" s="4" t="str">
        <f>"23740"</f>
        <v>23740</v>
      </c>
      <c r="Z2" s="4" t="str">
        <f>""</f>
        <v/>
      </c>
      <c r="AA2" s="4" t="str">
        <f>""</f>
        <v/>
      </c>
      <c r="AB2" s="5">
        <v>43465</v>
      </c>
      <c r="AC2" s="4">
        <v>0</v>
      </c>
    </row>
    <row r="3" spans="1:29" ht="14.45" customHeight="1" x14ac:dyDescent="0.25">
      <c r="A3" s="4" t="s">
        <v>25</v>
      </c>
      <c r="B3" s="4" t="s">
        <v>26</v>
      </c>
      <c r="C3" s="4" t="s">
        <v>27</v>
      </c>
      <c r="D3" s="4" t="s">
        <v>28</v>
      </c>
      <c r="E3" s="4" t="s">
        <v>29</v>
      </c>
      <c r="F3" s="4" t="s">
        <v>30</v>
      </c>
      <c r="G3" s="4" t="s">
        <v>30</v>
      </c>
      <c r="H3" s="4" t="s">
        <v>31</v>
      </c>
      <c r="I3" s="4" t="s">
        <v>37</v>
      </c>
      <c r="J3" s="4" t="str">
        <f>"5440SB0003095"</f>
        <v>5440SB0003095</v>
      </c>
      <c r="K3" s="4" t="s">
        <v>38</v>
      </c>
      <c r="L3" s="4" t="str">
        <f>""</f>
        <v/>
      </c>
      <c r="M3" s="4" t="str">
        <f>""</f>
        <v/>
      </c>
      <c r="N3" s="4" t="s">
        <v>34</v>
      </c>
      <c r="O3" s="3"/>
      <c r="P3" s="3"/>
      <c r="Q3" s="3"/>
      <c r="R3" s="4" t="s">
        <v>35</v>
      </c>
      <c r="S3" s="3"/>
      <c r="T3" s="4" t="str">
        <f>"PLATFORM-REAR"</f>
        <v>PLATFORM-REAR</v>
      </c>
      <c r="U3" s="4" t="str">
        <f>"NCIAX11170937"</f>
        <v>NCIAX11170937</v>
      </c>
      <c r="V3" s="4" t="str">
        <f>""</f>
        <v/>
      </c>
      <c r="W3" s="4" t="s">
        <v>36</v>
      </c>
      <c r="X3" s="4" t="str">
        <f>"MC0820"</f>
        <v>MC0820</v>
      </c>
      <c r="Y3" s="4" t="str">
        <f>"PLATFORM-REAR-SIDE"</f>
        <v>PLATFORM-REAR-SIDE</v>
      </c>
      <c r="Z3" s="4" t="str">
        <f>""</f>
        <v/>
      </c>
      <c r="AA3" s="4" t="str">
        <f>""</f>
        <v/>
      </c>
      <c r="AB3" s="5">
        <v>43465</v>
      </c>
      <c r="AC3" s="4">
        <v>0</v>
      </c>
    </row>
    <row r="4" spans="1:29" ht="14.45" customHeight="1" x14ac:dyDescent="0.25">
      <c r="A4" s="4" t="s">
        <v>25</v>
      </c>
      <c r="B4" s="4" t="s">
        <v>26</v>
      </c>
      <c r="C4" s="4" t="s">
        <v>27</v>
      </c>
      <c r="D4" s="4" t="s">
        <v>28</v>
      </c>
      <c r="E4" s="4" t="s">
        <v>29</v>
      </c>
      <c r="F4" s="4" t="s">
        <v>30</v>
      </c>
      <c r="G4" s="4" t="s">
        <v>30</v>
      </c>
      <c r="H4" s="4" t="s">
        <v>31</v>
      </c>
      <c r="I4" s="4" t="s">
        <v>37</v>
      </c>
      <c r="J4" s="4" t="str">
        <f>"5440SB0003096"</f>
        <v>5440SB0003096</v>
      </c>
      <c r="K4" s="4" t="s">
        <v>39</v>
      </c>
      <c r="L4" s="4" t="str">
        <f>""</f>
        <v/>
      </c>
      <c r="M4" s="4" t="str">
        <f>""</f>
        <v/>
      </c>
      <c r="N4" s="4" t="s">
        <v>34</v>
      </c>
      <c r="O4" s="3"/>
      <c r="P4" s="3"/>
      <c r="Q4" s="3"/>
      <c r="R4" s="4" t="s">
        <v>35</v>
      </c>
      <c r="S4" s="3"/>
      <c r="T4" s="4" t="str">
        <f>"PLATFORM-ROAD"</f>
        <v>PLATFORM-ROAD</v>
      </c>
      <c r="U4" s="4" t="str">
        <f>"NCIAX11170938"</f>
        <v>NCIAX11170938</v>
      </c>
      <c r="V4" s="4" t="str">
        <f>""</f>
        <v/>
      </c>
      <c r="W4" s="4" t="s">
        <v>36</v>
      </c>
      <c r="X4" s="4" t="str">
        <f>"MC0820"</f>
        <v>MC0820</v>
      </c>
      <c r="Y4" s="4" t="str">
        <f>"PLATFORM-ROAD-SIDE"</f>
        <v>PLATFORM-ROAD-SIDE</v>
      </c>
      <c r="Z4" s="4" t="str">
        <f>""</f>
        <v/>
      </c>
      <c r="AA4" s="4" t="str">
        <f>""</f>
        <v/>
      </c>
      <c r="AB4" s="5">
        <v>43465</v>
      </c>
      <c r="AC4" s="4">
        <v>0</v>
      </c>
    </row>
    <row r="5" spans="1:29" ht="14.45" customHeight="1" x14ac:dyDescent="0.25">
      <c r="A5" s="4" t="s">
        <v>25</v>
      </c>
      <c r="B5" s="4" t="s">
        <v>26</v>
      </c>
      <c r="C5" s="4" t="s">
        <v>27</v>
      </c>
      <c r="D5" s="4" t="s">
        <v>28</v>
      </c>
      <c r="E5" s="4" t="s">
        <v>29</v>
      </c>
      <c r="F5" s="4" t="s">
        <v>30</v>
      </c>
      <c r="G5" s="4" t="s">
        <v>30</v>
      </c>
      <c r="H5" s="4" t="s">
        <v>31</v>
      </c>
      <c r="I5" s="4" t="s">
        <v>37</v>
      </c>
      <c r="J5" s="4" t="str">
        <f>"5440SB0018720"</f>
        <v>5440SB0018720</v>
      </c>
      <c r="K5" s="4" t="s">
        <v>40</v>
      </c>
      <c r="L5" s="4" t="str">
        <f>""</f>
        <v/>
      </c>
      <c r="M5" s="4" t="str">
        <f>""</f>
        <v/>
      </c>
      <c r="N5" s="4" t="s">
        <v>34</v>
      </c>
      <c r="O5" s="3"/>
      <c r="P5" s="3"/>
      <c r="Q5" s="3"/>
      <c r="R5" s="4" t="s">
        <v>35</v>
      </c>
      <c r="S5" s="3"/>
      <c r="T5" s="4" t="str">
        <f>"LADDER-TMP"</f>
        <v>LADDER-TMP</v>
      </c>
      <c r="U5" s="4" t="str">
        <f>"NCIAX11170961"</f>
        <v>NCIAX11170961</v>
      </c>
      <c r="V5" s="4" t="str">
        <f>""</f>
        <v/>
      </c>
      <c r="W5" s="4" t="s">
        <v>36</v>
      </c>
      <c r="X5" s="4" t="str">
        <f>"MC0820"</f>
        <v>MC0820</v>
      </c>
      <c r="Y5" s="4" t="str">
        <f>"LADDER-TMP"</f>
        <v>LADDER-TMP</v>
      </c>
      <c r="Z5" s="4" t="str">
        <f>""</f>
        <v/>
      </c>
      <c r="AA5" s="4" t="str">
        <f>""</f>
        <v/>
      </c>
      <c r="AB5" s="5">
        <v>43465</v>
      </c>
      <c r="AC5" s="4">
        <v>0</v>
      </c>
    </row>
    <row r="6" spans="1:29" ht="14.45" customHeight="1" x14ac:dyDescent="0.25">
      <c r="A6" s="4" t="s">
        <v>25</v>
      </c>
      <c r="B6" s="4" t="s">
        <v>26</v>
      </c>
      <c r="C6" s="4" t="s">
        <v>27</v>
      </c>
      <c r="D6" s="4" t="s">
        <v>28</v>
      </c>
      <c r="E6" s="4" t="s">
        <v>29</v>
      </c>
      <c r="F6" s="4" t="s">
        <v>30</v>
      </c>
      <c r="G6" s="4" t="s">
        <v>30</v>
      </c>
      <c r="H6" s="4" t="s">
        <v>31</v>
      </c>
      <c r="I6" s="4" t="s">
        <v>37</v>
      </c>
      <c r="J6" s="4" t="str">
        <f>"5440SB0019207"</f>
        <v>5440SB0019207</v>
      </c>
      <c r="K6" s="4" t="s">
        <v>41</v>
      </c>
      <c r="L6" s="4" t="str">
        <f>""</f>
        <v/>
      </c>
      <c r="M6" s="4" t="str">
        <f>""</f>
        <v/>
      </c>
      <c r="N6" s="4" t="s">
        <v>34</v>
      </c>
      <c r="O6" s="3"/>
      <c r="P6" s="3"/>
      <c r="Q6" s="3"/>
      <c r="R6" s="4" t="s">
        <v>35</v>
      </c>
      <c r="S6" s="3"/>
      <c r="T6" s="4" t="str">
        <f>"COVER-PLATFORM"</f>
        <v>COVER-PLATFORM</v>
      </c>
      <c r="U6" s="4" t="str">
        <f>"NCIA10028651"</f>
        <v>NCIA10028651</v>
      </c>
      <c r="V6" s="4" t="str">
        <f>""</f>
        <v/>
      </c>
      <c r="W6" s="4" t="s">
        <v>36</v>
      </c>
      <c r="X6" s="4" t="str">
        <f>"*BNC*"</f>
        <v>*BNC*</v>
      </c>
      <c r="Y6" s="4" t="str">
        <f>"COVER-PLATFORM"</f>
        <v>COVER-PLATFORM</v>
      </c>
      <c r="Z6" s="4" t="str">
        <f>""</f>
        <v/>
      </c>
      <c r="AA6" s="4" t="str">
        <f>""</f>
        <v/>
      </c>
      <c r="AB6" s="5">
        <v>43465</v>
      </c>
      <c r="AC6" s="4">
        <v>0</v>
      </c>
    </row>
    <row r="7" spans="1:29" ht="14.45" customHeight="1" x14ac:dyDescent="0.25">
      <c r="A7" s="4" t="s">
        <v>25</v>
      </c>
      <c r="B7" s="4" t="s">
        <v>26</v>
      </c>
      <c r="C7" s="4" t="s">
        <v>27</v>
      </c>
      <c r="D7" s="4" t="s">
        <v>28</v>
      </c>
      <c r="E7" s="4" t="s">
        <v>29</v>
      </c>
      <c r="F7" s="4" t="s">
        <v>30</v>
      </c>
      <c r="G7" s="4" t="s">
        <v>30</v>
      </c>
      <c r="H7" s="4" t="s">
        <v>31</v>
      </c>
      <c r="I7" s="4" t="s">
        <v>42</v>
      </c>
      <c r="J7" s="4" t="str">
        <f>"5895SB0001941"</f>
        <v>5895SB0001941</v>
      </c>
      <c r="K7" s="4" t="s">
        <v>43</v>
      </c>
      <c r="L7" s="4" t="str">
        <f>""</f>
        <v/>
      </c>
      <c r="M7" s="4" t="str">
        <f>""</f>
        <v/>
      </c>
      <c r="N7" s="4" t="s">
        <v>34</v>
      </c>
      <c r="O7" s="3"/>
      <c r="P7" s="3"/>
      <c r="Q7" s="3"/>
      <c r="R7" s="4" t="s">
        <v>35</v>
      </c>
      <c r="S7" s="3"/>
      <c r="T7" s="4" t="str">
        <f>"5895145560369"</f>
        <v>5895145560369</v>
      </c>
      <c r="U7" s="4" t="str">
        <f>"03-110999"</f>
        <v>03-110999</v>
      </c>
      <c r="V7" s="4" t="str">
        <f>"61936039AA00029"</f>
        <v>61936039AA00029</v>
      </c>
      <c r="W7" s="4" t="s">
        <v>36</v>
      </c>
      <c r="X7" s="4" t="str">
        <f>"F0057"</f>
        <v>F0057</v>
      </c>
      <c r="Y7" s="4" t="str">
        <f>"61936039AA"</f>
        <v>61936039AA</v>
      </c>
      <c r="Z7" s="4" t="str">
        <f>""</f>
        <v/>
      </c>
      <c r="AA7" s="4" t="str">
        <f>""</f>
        <v/>
      </c>
      <c r="AB7" s="5">
        <v>43465</v>
      </c>
      <c r="AC7" s="4">
        <v>0</v>
      </c>
    </row>
    <row r="8" spans="1:29" ht="14.45" customHeight="1" x14ac:dyDescent="0.25">
      <c r="A8" s="4" t="s">
        <v>25</v>
      </c>
      <c r="B8" s="4" t="s">
        <v>26</v>
      </c>
      <c r="C8" s="4" t="s">
        <v>27</v>
      </c>
      <c r="D8" s="4" t="s">
        <v>28</v>
      </c>
      <c r="E8" s="4" t="s">
        <v>29</v>
      </c>
      <c r="F8" s="4" t="s">
        <v>30</v>
      </c>
      <c r="G8" s="4" t="s">
        <v>30</v>
      </c>
      <c r="H8" s="4" t="s">
        <v>31</v>
      </c>
      <c r="I8" s="4" t="s">
        <v>44</v>
      </c>
      <c r="J8" s="4" t="str">
        <f>"5895SB0002255"</f>
        <v>5895SB0002255</v>
      </c>
      <c r="K8" s="4" t="s">
        <v>45</v>
      </c>
      <c r="L8" s="4" t="str">
        <f>""</f>
        <v/>
      </c>
      <c r="M8" s="4" t="str">
        <f>""</f>
        <v/>
      </c>
      <c r="N8" s="4" t="s">
        <v>34</v>
      </c>
      <c r="O8" s="3"/>
      <c r="P8" s="3"/>
      <c r="Q8" s="3"/>
      <c r="R8" s="4" t="s">
        <v>35</v>
      </c>
      <c r="S8" s="3"/>
      <c r="T8" s="4" t="str">
        <f>"6130015980922"</f>
        <v>6130015980922</v>
      </c>
      <c r="U8" s="4" t="str">
        <f>"01-114152"</f>
        <v>01-114152</v>
      </c>
      <c r="V8" s="4" t="str">
        <f>"VCP090600351"</f>
        <v>VCP090600351</v>
      </c>
      <c r="W8" s="4" t="s">
        <v>36</v>
      </c>
      <c r="X8" s="4" t="str">
        <f>"0P0N7"</f>
        <v>0P0N7</v>
      </c>
      <c r="Y8" s="4" t="str">
        <f>"99-370-2700-15"</f>
        <v>99-370-2700-15</v>
      </c>
      <c r="Z8" s="4" t="str">
        <f>""</f>
        <v/>
      </c>
      <c r="AA8" s="4" t="str">
        <f>""</f>
        <v/>
      </c>
      <c r="AB8" s="5">
        <v>43465</v>
      </c>
      <c r="AC8" s="4">
        <v>0</v>
      </c>
    </row>
    <row r="9" spans="1:29" ht="14.45" customHeight="1" x14ac:dyDescent="0.25">
      <c r="A9" s="4" t="s">
        <v>25</v>
      </c>
      <c r="B9" s="4" t="s">
        <v>26</v>
      </c>
      <c r="C9" s="4" t="s">
        <v>27</v>
      </c>
      <c r="D9" s="4" t="s">
        <v>28</v>
      </c>
      <c r="E9" s="4" t="s">
        <v>29</v>
      </c>
      <c r="F9" s="4" t="s">
        <v>30</v>
      </c>
      <c r="G9" s="4" t="s">
        <v>30</v>
      </c>
      <c r="H9" s="4" t="s">
        <v>46</v>
      </c>
      <c r="I9" s="4" t="s">
        <v>47</v>
      </c>
      <c r="J9" s="4" t="str">
        <f>"5895SB0002379"</f>
        <v>5895SB0002379</v>
      </c>
      <c r="K9" s="4" t="s">
        <v>48</v>
      </c>
      <c r="L9" s="4" t="str">
        <f>""</f>
        <v/>
      </c>
      <c r="M9" s="4" t="str">
        <f>""</f>
        <v/>
      </c>
      <c r="N9" s="4" t="s">
        <v>34</v>
      </c>
      <c r="O9" s="3"/>
      <c r="P9" s="3"/>
      <c r="Q9" s="3"/>
      <c r="R9" s="4" t="s">
        <v>35</v>
      </c>
      <c r="S9" s="3"/>
      <c r="T9" s="4" t="str">
        <f>"5895015192415"</f>
        <v>5895015192415</v>
      </c>
      <c r="U9" s="4" t="str">
        <f>"03-128229"</f>
        <v>03-128229</v>
      </c>
      <c r="V9" s="4" t="str">
        <f>"121712190401"</f>
        <v>121712190401</v>
      </c>
      <c r="W9" s="4" t="s">
        <v>36</v>
      </c>
      <c r="X9" s="4" t="str">
        <f>"2U761"</f>
        <v>2U761</v>
      </c>
      <c r="Y9" s="4" t="str">
        <f>"1075560"</f>
        <v>1075560</v>
      </c>
      <c r="Z9" s="4" t="str">
        <f>""</f>
        <v/>
      </c>
      <c r="AA9" s="4" t="str">
        <f>""</f>
        <v/>
      </c>
      <c r="AB9" s="5">
        <v>43465</v>
      </c>
      <c r="AC9" s="4">
        <v>0</v>
      </c>
    </row>
    <row r="10" spans="1:29" ht="14.45" customHeight="1" x14ac:dyDescent="0.25">
      <c r="A10" s="4" t="s">
        <v>25</v>
      </c>
      <c r="B10" s="4" t="s">
        <v>26</v>
      </c>
      <c r="C10" s="4" t="s">
        <v>27</v>
      </c>
      <c r="D10" s="4" t="s">
        <v>28</v>
      </c>
      <c r="E10" s="4" t="s">
        <v>29</v>
      </c>
      <c r="F10" s="4" t="s">
        <v>30</v>
      </c>
      <c r="G10" s="4" t="s">
        <v>30</v>
      </c>
      <c r="H10" s="4" t="s">
        <v>31</v>
      </c>
      <c r="I10" s="4" t="s">
        <v>47</v>
      </c>
      <c r="J10" s="4" t="str">
        <f>"5895SB0002379"</f>
        <v>5895SB0002379</v>
      </c>
      <c r="K10" s="4" t="s">
        <v>48</v>
      </c>
      <c r="L10" s="4" t="str">
        <f>""</f>
        <v/>
      </c>
      <c r="M10" s="4" t="str">
        <f>""</f>
        <v/>
      </c>
      <c r="N10" s="4" t="s">
        <v>34</v>
      </c>
      <c r="O10" s="3"/>
      <c r="P10" s="3"/>
      <c r="Q10" s="3"/>
      <c r="R10" s="4" t="s">
        <v>35</v>
      </c>
      <c r="S10" s="3"/>
      <c r="T10" s="4" t="str">
        <f>"5895015192415"</f>
        <v>5895015192415</v>
      </c>
      <c r="U10" s="4" t="str">
        <f>"03-130991"</f>
        <v>03-130991</v>
      </c>
      <c r="V10" s="4" t="str">
        <f>"121713410010"</f>
        <v>121713410010</v>
      </c>
      <c r="W10" s="4" t="s">
        <v>36</v>
      </c>
      <c r="X10" s="4" t="str">
        <f>"2U761"</f>
        <v>2U761</v>
      </c>
      <c r="Y10" s="4" t="str">
        <f>"1075560"</f>
        <v>1075560</v>
      </c>
      <c r="Z10" s="4" t="str">
        <f>""</f>
        <v/>
      </c>
      <c r="AA10" s="4" t="str">
        <f>""</f>
        <v/>
      </c>
      <c r="AB10" s="5">
        <v>43465</v>
      </c>
      <c r="AC10" s="4">
        <v>0</v>
      </c>
    </row>
    <row r="11" spans="1:29" ht="14.45" customHeight="1" x14ac:dyDescent="0.25">
      <c r="A11" s="4" t="s">
        <v>25</v>
      </c>
      <c r="B11" s="4" t="s">
        <v>26</v>
      </c>
      <c r="C11" s="4" t="s">
        <v>27</v>
      </c>
      <c r="D11" s="4" t="s">
        <v>28</v>
      </c>
      <c r="E11" s="4" t="s">
        <v>29</v>
      </c>
      <c r="F11" s="4" t="s">
        <v>30</v>
      </c>
      <c r="G11" s="4" t="s">
        <v>30</v>
      </c>
      <c r="H11" s="4" t="s">
        <v>31</v>
      </c>
      <c r="I11" s="4" t="s">
        <v>49</v>
      </c>
      <c r="J11" s="4" t="str">
        <f>"5895SB0002396"</f>
        <v>5895SB0002396</v>
      </c>
      <c r="K11" s="4" t="s">
        <v>50</v>
      </c>
      <c r="L11" s="4" t="str">
        <f>""</f>
        <v/>
      </c>
      <c r="M11" s="4" t="str">
        <f>""</f>
        <v/>
      </c>
      <c r="N11" s="4" t="s">
        <v>34</v>
      </c>
      <c r="O11" s="3"/>
      <c r="P11" s="3"/>
      <c r="Q11" s="3"/>
      <c r="R11" s="4" t="s">
        <v>35</v>
      </c>
      <c r="S11" s="3"/>
      <c r="T11" s="4" t="str">
        <f>"DMD200-166"</f>
        <v>DMD200-166</v>
      </c>
      <c r="U11" s="4" t="str">
        <f>"01-114104"</f>
        <v>01-114104</v>
      </c>
      <c r="V11" s="4" t="str">
        <f>"092425791"</f>
        <v>092425791</v>
      </c>
      <c r="W11" s="4" t="s">
        <v>36</v>
      </c>
      <c r="X11" s="4" t="str">
        <f>"1RN38"</f>
        <v>1RN38</v>
      </c>
      <c r="Y11" s="4" t="str">
        <f>"DMD020-166"</f>
        <v>DMD020-166</v>
      </c>
      <c r="Z11" s="4" t="str">
        <f>""</f>
        <v/>
      </c>
      <c r="AA11" s="4" t="str">
        <f>""</f>
        <v/>
      </c>
      <c r="AB11" s="5">
        <v>43465</v>
      </c>
      <c r="AC11" s="4">
        <v>0</v>
      </c>
    </row>
    <row r="12" spans="1:29" ht="14.45" customHeight="1" x14ac:dyDescent="0.25">
      <c r="A12" s="4" t="s">
        <v>25</v>
      </c>
      <c r="B12" s="4" t="s">
        <v>26</v>
      </c>
      <c r="C12" s="4" t="s">
        <v>27</v>
      </c>
      <c r="D12" s="4" t="s">
        <v>28</v>
      </c>
      <c r="E12" s="4" t="s">
        <v>29</v>
      </c>
      <c r="F12" s="4" t="s">
        <v>30</v>
      </c>
      <c r="G12" s="4" t="s">
        <v>30</v>
      </c>
      <c r="H12" s="4" t="s">
        <v>31</v>
      </c>
      <c r="I12" s="4" t="s">
        <v>49</v>
      </c>
      <c r="J12" s="4" t="str">
        <f>"5895SB0002396"</f>
        <v>5895SB0002396</v>
      </c>
      <c r="K12" s="4" t="s">
        <v>50</v>
      </c>
      <c r="L12" s="4" t="str">
        <f>""</f>
        <v/>
      </c>
      <c r="M12" s="4" t="str">
        <f>""</f>
        <v/>
      </c>
      <c r="N12" s="4" t="s">
        <v>34</v>
      </c>
      <c r="O12" s="3"/>
      <c r="P12" s="3"/>
      <c r="Q12" s="3"/>
      <c r="R12" s="4" t="s">
        <v>35</v>
      </c>
      <c r="S12" s="3"/>
      <c r="T12" s="4" t="str">
        <f>"DMD200-166"</f>
        <v>DMD200-166</v>
      </c>
      <c r="U12" s="4" t="str">
        <f>"01-114105"</f>
        <v>01-114105</v>
      </c>
      <c r="V12" s="4" t="str">
        <f>"092432355"</f>
        <v>092432355</v>
      </c>
      <c r="W12" s="4" t="s">
        <v>36</v>
      </c>
      <c r="X12" s="4" t="str">
        <f>"1RN38"</f>
        <v>1RN38</v>
      </c>
      <c r="Y12" s="4" t="str">
        <f>"DMD020-166"</f>
        <v>DMD020-166</v>
      </c>
      <c r="Z12" s="4" t="str">
        <f>""</f>
        <v/>
      </c>
      <c r="AA12" s="4" t="str">
        <f>""</f>
        <v/>
      </c>
      <c r="AB12" s="5">
        <v>43465</v>
      </c>
      <c r="AC12" s="4">
        <v>0</v>
      </c>
    </row>
    <row r="13" spans="1:29" ht="14.45" customHeight="1" x14ac:dyDescent="0.25">
      <c r="A13" s="4" t="s">
        <v>25</v>
      </c>
      <c r="B13" s="4" t="s">
        <v>26</v>
      </c>
      <c r="C13" s="4" t="s">
        <v>27</v>
      </c>
      <c r="D13" s="4" t="s">
        <v>28</v>
      </c>
      <c r="E13" s="4" t="s">
        <v>29</v>
      </c>
      <c r="F13" s="4" t="s">
        <v>30</v>
      </c>
      <c r="G13" s="4" t="s">
        <v>30</v>
      </c>
      <c r="H13" s="4" t="s">
        <v>31</v>
      </c>
      <c r="I13" s="4" t="s">
        <v>49</v>
      </c>
      <c r="J13" s="4" t="str">
        <f>"5895SB0002396"</f>
        <v>5895SB0002396</v>
      </c>
      <c r="K13" s="4" t="s">
        <v>50</v>
      </c>
      <c r="L13" s="4" t="str">
        <f>""</f>
        <v/>
      </c>
      <c r="M13" s="4" t="str">
        <f>""</f>
        <v/>
      </c>
      <c r="N13" s="4" t="s">
        <v>34</v>
      </c>
      <c r="O13" s="3"/>
      <c r="P13" s="3"/>
      <c r="Q13" s="3"/>
      <c r="R13" s="4" t="s">
        <v>35</v>
      </c>
      <c r="S13" s="3"/>
      <c r="T13" s="4" t="str">
        <f>"DMD200-166"</f>
        <v>DMD200-166</v>
      </c>
      <c r="U13" s="4" t="str">
        <f>"01-114106"</f>
        <v>01-114106</v>
      </c>
      <c r="V13" s="4" t="str">
        <f>"092432354"</f>
        <v>092432354</v>
      </c>
      <c r="W13" s="4" t="s">
        <v>36</v>
      </c>
      <c r="X13" s="4" t="str">
        <f>"1RN38"</f>
        <v>1RN38</v>
      </c>
      <c r="Y13" s="4" t="str">
        <f>"DMD020-166"</f>
        <v>DMD020-166</v>
      </c>
      <c r="Z13" s="4" t="str">
        <f>""</f>
        <v/>
      </c>
      <c r="AA13" s="4" t="str">
        <f>""</f>
        <v/>
      </c>
      <c r="AB13" s="5">
        <v>43465</v>
      </c>
      <c r="AC13" s="4">
        <v>0</v>
      </c>
    </row>
    <row r="14" spans="1:29" ht="14.45" customHeight="1" x14ac:dyDescent="0.25">
      <c r="A14" s="4" t="s">
        <v>25</v>
      </c>
      <c r="B14" s="4" t="s">
        <v>26</v>
      </c>
      <c r="C14" s="4" t="s">
        <v>27</v>
      </c>
      <c r="D14" s="4" t="s">
        <v>28</v>
      </c>
      <c r="E14" s="4" t="s">
        <v>29</v>
      </c>
      <c r="F14" s="4" t="s">
        <v>30</v>
      </c>
      <c r="G14" s="4" t="s">
        <v>30</v>
      </c>
      <c r="H14" s="4" t="s">
        <v>31</v>
      </c>
      <c r="I14" s="4" t="s">
        <v>51</v>
      </c>
      <c r="J14" s="4" t="str">
        <f>"5895SB0002489"</f>
        <v>5895SB0002489</v>
      </c>
      <c r="K14" s="4" t="s">
        <v>52</v>
      </c>
      <c r="L14" s="4" t="str">
        <f>""</f>
        <v/>
      </c>
      <c r="M14" s="4" t="str">
        <f>""</f>
        <v/>
      </c>
      <c r="N14" s="4" t="s">
        <v>34</v>
      </c>
      <c r="O14" s="3"/>
      <c r="P14" s="3"/>
      <c r="Q14" s="3"/>
      <c r="R14" s="4" t="s">
        <v>35</v>
      </c>
      <c r="S14" s="3"/>
      <c r="T14" s="4" t="str">
        <f>"174995-16"</f>
        <v>174995-16</v>
      </c>
      <c r="U14" s="4" t="str">
        <f>"01-114040"</f>
        <v>01-114040</v>
      </c>
      <c r="V14" s="4" t="str">
        <f>"1478925"</f>
        <v>1478925</v>
      </c>
      <c r="W14" s="4" t="s">
        <v>36</v>
      </c>
      <c r="X14" s="4" t="str">
        <f>"02MQ7"</f>
        <v>02MQ7</v>
      </c>
      <c r="Y14" s="4" t="str">
        <f>"174995-16"</f>
        <v>174995-16</v>
      </c>
      <c r="Z14" s="4" t="str">
        <f>""</f>
        <v/>
      </c>
      <c r="AA14" s="4" t="str">
        <f>""</f>
        <v/>
      </c>
      <c r="AB14" s="5">
        <v>43465</v>
      </c>
      <c r="AC14" s="4">
        <v>0</v>
      </c>
    </row>
    <row r="15" spans="1:29" ht="14.45" customHeight="1" x14ac:dyDescent="0.25">
      <c r="A15" s="4" t="s">
        <v>25</v>
      </c>
      <c r="B15" s="4" t="s">
        <v>26</v>
      </c>
      <c r="C15" s="4" t="s">
        <v>27</v>
      </c>
      <c r="D15" s="4" t="s">
        <v>28</v>
      </c>
      <c r="E15" s="4" t="s">
        <v>29</v>
      </c>
      <c r="F15" s="4" t="s">
        <v>30</v>
      </c>
      <c r="G15" s="4" t="s">
        <v>30</v>
      </c>
      <c r="H15" s="4" t="s">
        <v>31</v>
      </c>
      <c r="I15" s="4" t="s">
        <v>37</v>
      </c>
      <c r="J15" s="4" t="str">
        <f>"5895SB0002655"</f>
        <v>5895SB0002655</v>
      </c>
      <c r="K15" s="4" t="s">
        <v>53</v>
      </c>
      <c r="L15" s="4" t="str">
        <f>""</f>
        <v/>
      </c>
      <c r="M15" s="4" t="str">
        <f>""</f>
        <v/>
      </c>
      <c r="N15" s="4" t="s">
        <v>34</v>
      </c>
      <c r="O15" s="3"/>
      <c r="P15" s="3"/>
      <c r="Q15" s="3"/>
      <c r="R15" s="4" t="s">
        <v>35</v>
      </c>
      <c r="S15" s="3"/>
      <c r="T15" s="4" t="str">
        <f>"10538-05015-003"</f>
        <v>10538-05015-003</v>
      </c>
      <c r="U15" s="4" t="str">
        <f>"NCIAX11172626"</f>
        <v>NCIAX11172626</v>
      </c>
      <c r="V15" s="4" t="str">
        <f>""</f>
        <v/>
      </c>
      <c r="W15" s="4" t="s">
        <v>36</v>
      </c>
      <c r="X15" s="4" t="str">
        <f>"02MQ7"</f>
        <v>02MQ7</v>
      </c>
      <c r="Y15" s="4" t="str">
        <f>"10538-05015-003"</f>
        <v>10538-05015-003</v>
      </c>
      <c r="Z15" s="4" t="str">
        <f>""</f>
        <v/>
      </c>
      <c r="AA15" s="4" t="str">
        <f>""</f>
        <v/>
      </c>
      <c r="AB15" s="5">
        <v>43465</v>
      </c>
      <c r="AC15" s="4">
        <v>0</v>
      </c>
    </row>
    <row r="16" spans="1:29" ht="14.45" customHeight="1" x14ac:dyDescent="0.25">
      <c r="A16" s="4" t="s">
        <v>25</v>
      </c>
      <c r="B16" s="4" t="s">
        <v>26</v>
      </c>
      <c r="C16" s="4" t="s">
        <v>27</v>
      </c>
      <c r="D16" s="4" t="s">
        <v>28</v>
      </c>
      <c r="E16" s="4" t="s">
        <v>29</v>
      </c>
      <c r="F16" s="4" t="s">
        <v>30</v>
      </c>
      <c r="G16" s="4" t="s">
        <v>30</v>
      </c>
      <c r="H16" s="4" t="s">
        <v>31</v>
      </c>
      <c r="I16" s="4" t="s">
        <v>54</v>
      </c>
      <c r="J16" s="4" t="str">
        <f>"5895SB0002742"</f>
        <v>5895SB0002742</v>
      </c>
      <c r="K16" s="4" t="s">
        <v>55</v>
      </c>
      <c r="L16" s="4" t="str">
        <f>""</f>
        <v/>
      </c>
      <c r="M16" s="4" t="str">
        <f>""</f>
        <v/>
      </c>
      <c r="N16" s="4" t="s">
        <v>34</v>
      </c>
      <c r="O16" s="3"/>
      <c r="P16" s="3"/>
      <c r="Q16" s="3"/>
      <c r="R16" s="4" t="s">
        <v>35</v>
      </c>
      <c r="S16" s="3"/>
      <c r="T16" s="4" t="str">
        <f>"174991-22"</f>
        <v>174991-22</v>
      </c>
      <c r="U16" s="4" t="str">
        <f>"01-114036"</f>
        <v>01-114036</v>
      </c>
      <c r="V16" s="4" t="str">
        <f>"1475161"</f>
        <v>1475161</v>
      </c>
      <c r="W16" s="4" t="s">
        <v>36</v>
      </c>
      <c r="X16" s="4" t="str">
        <f>"33592"</f>
        <v>33592</v>
      </c>
      <c r="Y16" s="4" t="str">
        <f>"174991-22"</f>
        <v>174991-22</v>
      </c>
      <c r="Z16" s="4" t="str">
        <f>""</f>
        <v/>
      </c>
      <c r="AA16" s="4" t="str">
        <f>""</f>
        <v/>
      </c>
      <c r="AB16" s="5">
        <v>43465</v>
      </c>
      <c r="AC16" s="4">
        <v>0</v>
      </c>
    </row>
    <row r="17" spans="1:29" ht="14.45" customHeight="1" x14ac:dyDescent="0.25">
      <c r="A17" s="4" t="s">
        <v>25</v>
      </c>
      <c r="B17" s="4" t="s">
        <v>26</v>
      </c>
      <c r="C17" s="4" t="s">
        <v>27</v>
      </c>
      <c r="D17" s="4" t="s">
        <v>28</v>
      </c>
      <c r="E17" s="4" t="s">
        <v>29</v>
      </c>
      <c r="F17" s="4" t="s">
        <v>30</v>
      </c>
      <c r="G17" s="4" t="s">
        <v>30</v>
      </c>
      <c r="H17" s="4" t="s">
        <v>31</v>
      </c>
      <c r="I17" s="4" t="s">
        <v>54</v>
      </c>
      <c r="J17" s="4" t="str">
        <f>"5895SB0002742"</f>
        <v>5895SB0002742</v>
      </c>
      <c r="K17" s="4" t="s">
        <v>55</v>
      </c>
      <c r="L17" s="4" t="str">
        <f>""</f>
        <v/>
      </c>
      <c r="M17" s="4" t="str">
        <f>""</f>
        <v/>
      </c>
      <c r="N17" s="4" t="s">
        <v>34</v>
      </c>
      <c r="O17" s="3"/>
      <c r="P17" s="3"/>
      <c r="Q17" s="3"/>
      <c r="R17" s="4" t="s">
        <v>35</v>
      </c>
      <c r="S17" s="3"/>
      <c r="T17" s="4" t="str">
        <f>"174991-22"</f>
        <v>174991-22</v>
      </c>
      <c r="U17" s="4" t="str">
        <f>"01-114037"</f>
        <v>01-114037</v>
      </c>
      <c r="V17" s="4" t="str">
        <f>"1476330"</f>
        <v>1476330</v>
      </c>
      <c r="W17" s="4" t="s">
        <v>36</v>
      </c>
      <c r="X17" s="4" t="str">
        <f>"33592"</f>
        <v>33592</v>
      </c>
      <c r="Y17" s="4" t="str">
        <f>"174991-22"</f>
        <v>174991-22</v>
      </c>
      <c r="Z17" s="4" t="str">
        <f>""</f>
        <v/>
      </c>
      <c r="AA17" s="4" t="str">
        <f>""</f>
        <v/>
      </c>
      <c r="AB17" s="5">
        <v>43465</v>
      </c>
      <c r="AC17" s="4">
        <v>0</v>
      </c>
    </row>
    <row r="18" spans="1:29" ht="14.45" customHeight="1" x14ac:dyDescent="0.25">
      <c r="A18" s="4" t="s">
        <v>25</v>
      </c>
      <c r="B18" s="4" t="s">
        <v>26</v>
      </c>
      <c r="C18" s="4" t="s">
        <v>27</v>
      </c>
      <c r="D18" s="4" t="s">
        <v>28</v>
      </c>
      <c r="E18" s="4" t="s">
        <v>29</v>
      </c>
      <c r="F18" s="4" t="s">
        <v>30</v>
      </c>
      <c r="G18" s="4" t="s">
        <v>30</v>
      </c>
      <c r="H18" s="4" t="s">
        <v>31</v>
      </c>
      <c r="I18" s="4" t="s">
        <v>56</v>
      </c>
      <c r="J18" s="4" t="str">
        <f>"5895SB0002757"</f>
        <v>5895SB0002757</v>
      </c>
      <c r="K18" s="4" t="s">
        <v>57</v>
      </c>
      <c r="L18" s="4" t="str">
        <f>""</f>
        <v/>
      </c>
      <c r="M18" s="4" t="str">
        <f>""</f>
        <v/>
      </c>
      <c r="N18" s="4" t="s">
        <v>34</v>
      </c>
      <c r="O18" s="3"/>
      <c r="P18" s="3"/>
      <c r="Q18" s="3"/>
      <c r="R18" s="4" t="s">
        <v>35</v>
      </c>
      <c r="S18" s="3"/>
      <c r="T18" s="4" t="str">
        <f>"174992-49"</f>
        <v>174992-49</v>
      </c>
      <c r="U18" s="4" t="str">
        <f>"01-114038"</f>
        <v>01-114038</v>
      </c>
      <c r="V18" s="4" t="str">
        <f>"1474918"</f>
        <v>1474918</v>
      </c>
      <c r="W18" s="4" t="s">
        <v>36</v>
      </c>
      <c r="X18" s="4" t="str">
        <f>"02MQ7"</f>
        <v>02MQ7</v>
      </c>
      <c r="Y18" s="4" t="str">
        <f>"174992-49"</f>
        <v>174992-49</v>
      </c>
      <c r="Z18" s="4" t="str">
        <f>""</f>
        <v/>
      </c>
      <c r="AA18" s="4" t="str">
        <f>""</f>
        <v/>
      </c>
      <c r="AB18" s="5">
        <v>43465</v>
      </c>
      <c r="AC18" s="4">
        <v>0</v>
      </c>
    </row>
    <row r="19" spans="1:29" ht="14.45" customHeight="1" x14ac:dyDescent="0.25">
      <c r="A19" s="4" t="s">
        <v>25</v>
      </c>
      <c r="B19" s="4" t="s">
        <v>26</v>
      </c>
      <c r="C19" s="4" t="s">
        <v>27</v>
      </c>
      <c r="D19" s="4" t="s">
        <v>28</v>
      </c>
      <c r="E19" s="4" t="s">
        <v>29</v>
      </c>
      <c r="F19" s="4" t="s">
        <v>30</v>
      </c>
      <c r="G19" s="4" t="s">
        <v>30</v>
      </c>
      <c r="H19" s="4" t="s">
        <v>31</v>
      </c>
      <c r="I19" s="4" t="s">
        <v>56</v>
      </c>
      <c r="J19" s="4" t="str">
        <f>"5895SB0002757"</f>
        <v>5895SB0002757</v>
      </c>
      <c r="K19" s="4" t="s">
        <v>57</v>
      </c>
      <c r="L19" s="4" t="str">
        <f>""</f>
        <v/>
      </c>
      <c r="M19" s="4" t="str">
        <f>""</f>
        <v/>
      </c>
      <c r="N19" s="4" t="s">
        <v>34</v>
      </c>
      <c r="O19" s="3"/>
      <c r="P19" s="3"/>
      <c r="Q19" s="3"/>
      <c r="R19" s="4" t="s">
        <v>35</v>
      </c>
      <c r="S19" s="3"/>
      <c r="T19" s="4" t="str">
        <f>"174992-49"</f>
        <v>174992-49</v>
      </c>
      <c r="U19" s="4" t="str">
        <f>"01-114039"</f>
        <v>01-114039</v>
      </c>
      <c r="V19" s="4" t="str">
        <f>"1474917"</f>
        <v>1474917</v>
      </c>
      <c r="W19" s="4" t="s">
        <v>36</v>
      </c>
      <c r="X19" s="4" t="str">
        <f>"02MQ7"</f>
        <v>02MQ7</v>
      </c>
      <c r="Y19" s="4" t="str">
        <f>"174992-49"</f>
        <v>174992-49</v>
      </c>
      <c r="Z19" s="4" t="str">
        <f>""</f>
        <v/>
      </c>
      <c r="AA19" s="4" t="str">
        <f>""</f>
        <v/>
      </c>
      <c r="AB19" s="5">
        <v>43465</v>
      </c>
      <c r="AC19" s="4">
        <v>0</v>
      </c>
    </row>
    <row r="20" spans="1:29" ht="14.45" customHeight="1" x14ac:dyDescent="0.25">
      <c r="A20" s="4" t="s">
        <v>25</v>
      </c>
      <c r="B20" s="4" t="s">
        <v>26</v>
      </c>
      <c r="C20" s="4" t="s">
        <v>27</v>
      </c>
      <c r="D20" s="4" t="s">
        <v>28</v>
      </c>
      <c r="E20" s="4" t="s">
        <v>29</v>
      </c>
      <c r="F20" s="4" t="s">
        <v>30</v>
      </c>
      <c r="G20" s="4" t="s">
        <v>30</v>
      </c>
      <c r="H20" s="4" t="s">
        <v>31</v>
      </c>
      <c r="I20" s="4" t="s">
        <v>51</v>
      </c>
      <c r="J20" s="4" t="str">
        <f>"5895SB0002984"</f>
        <v>5895SB0002984</v>
      </c>
      <c r="K20" s="4" t="s">
        <v>58</v>
      </c>
      <c r="L20" s="4" t="str">
        <f>""</f>
        <v/>
      </c>
      <c r="M20" s="4" t="str">
        <f>""</f>
        <v/>
      </c>
      <c r="N20" s="4" t="s">
        <v>34</v>
      </c>
      <c r="O20" s="3"/>
      <c r="P20" s="3"/>
      <c r="Q20" s="3"/>
      <c r="R20" s="4" t="s">
        <v>35</v>
      </c>
      <c r="S20" s="3"/>
      <c r="T20" s="4" t="str">
        <f>"12721A-500"</f>
        <v>12721A-500</v>
      </c>
      <c r="U20" s="4" t="str">
        <f>"01-113994"</f>
        <v>01-113994</v>
      </c>
      <c r="V20" s="4" t="str">
        <f>"12721-26"</f>
        <v>12721-26</v>
      </c>
      <c r="W20" s="4" t="s">
        <v>36</v>
      </c>
      <c r="X20" s="4" t="str">
        <f>"0BFK7"</f>
        <v>0BFK7</v>
      </c>
      <c r="Y20" s="4" t="str">
        <f>"12721A-500"</f>
        <v>12721A-500</v>
      </c>
      <c r="Z20" s="4" t="str">
        <f>""</f>
        <v/>
      </c>
      <c r="AA20" s="4" t="str">
        <f>""</f>
        <v/>
      </c>
      <c r="AB20" s="5">
        <v>43465</v>
      </c>
      <c r="AC20" s="4">
        <v>0</v>
      </c>
    </row>
    <row r="21" spans="1:29" ht="14.45" customHeight="1" x14ac:dyDescent="0.25">
      <c r="A21" s="4" t="s">
        <v>25</v>
      </c>
      <c r="B21" s="4" t="s">
        <v>26</v>
      </c>
      <c r="C21" s="4" t="s">
        <v>27</v>
      </c>
      <c r="D21" s="4" t="s">
        <v>28</v>
      </c>
      <c r="E21" s="4" t="s">
        <v>29</v>
      </c>
      <c r="F21" s="4" t="s">
        <v>30</v>
      </c>
      <c r="G21" s="4" t="s">
        <v>30</v>
      </c>
      <c r="H21" s="4" t="s">
        <v>31</v>
      </c>
      <c r="I21" s="4" t="s">
        <v>59</v>
      </c>
      <c r="J21" s="4" t="str">
        <f>"5895SB0003531"</f>
        <v>5895SB0003531</v>
      </c>
      <c r="K21" s="4" t="s">
        <v>60</v>
      </c>
      <c r="L21" s="4" t="str">
        <f>""</f>
        <v/>
      </c>
      <c r="M21" s="4" t="str">
        <f>""</f>
        <v/>
      </c>
      <c r="N21" s="4" t="s">
        <v>34</v>
      </c>
      <c r="O21" s="3"/>
      <c r="P21" s="3"/>
      <c r="Q21" s="3"/>
      <c r="R21" s="4" t="s">
        <v>35</v>
      </c>
      <c r="S21" s="3"/>
      <c r="T21" s="4" t="str">
        <f>"5985015209792"</f>
        <v>5985015209792</v>
      </c>
      <c r="U21" s="4" t="str">
        <f>"01-113811"</f>
        <v>01-113811</v>
      </c>
      <c r="V21" s="4" t="str">
        <f>"662"</f>
        <v>662</v>
      </c>
      <c r="W21" s="4" t="s">
        <v>36</v>
      </c>
      <c r="X21" s="4" t="str">
        <f>"0P0N7"</f>
        <v>0P0N7</v>
      </c>
      <c r="Y21" s="4" t="str">
        <f>"99-261-3004-03"</f>
        <v>99-261-3004-03</v>
      </c>
      <c r="Z21" s="4" t="str">
        <f>""</f>
        <v/>
      </c>
      <c r="AA21" s="4" t="str">
        <f>""</f>
        <v/>
      </c>
      <c r="AB21" s="5">
        <v>43465</v>
      </c>
      <c r="AC21" s="4">
        <v>0</v>
      </c>
    </row>
    <row r="22" spans="1:29" ht="14.45" customHeight="1" x14ac:dyDescent="0.25">
      <c r="A22" s="4" t="s">
        <v>25</v>
      </c>
      <c r="B22" s="4" t="s">
        <v>26</v>
      </c>
      <c r="C22" s="4" t="s">
        <v>27</v>
      </c>
      <c r="D22" s="4" t="s">
        <v>28</v>
      </c>
      <c r="E22" s="4" t="s">
        <v>29</v>
      </c>
      <c r="F22" s="4" t="s">
        <v>30</v>
      </c>
      <c r="G22" s="4" t="s">
        <v>30</v>
      </c>
      <c r="H22" s="4" t="s">
        <v>31</v>
      </c>
      <c r="I22" s="4" t="s">
        <v>61</v>
      </c>
      <c r="J22" s="4" t="str">
        <f>"5895SB0003672"</f>
        <v>5895SB0003672</v>
      </c>
      <c r="K22" s="4" t="s">
        <v>62</v>
      </c>
      <c r="L22" s="4" t="str">
        <f>""</f>
        <v/>
      </c>
      <c r="M22" s="4" t="str">
        <f>""</f>
        <v/>
      </c>
      <c r="N22" s="4" t="s">
        <v>34</v>
      </c>
      <c r="O22" s="3"/>
      <c r="P22" s="3"/>
      <c r="Q22" s="3"/>
      <c r="R22" s="4" t="s">
        <v>35</v>
      </c>
      <c r="S22" s="3"/>
      <c r="T22" s="4" t="str">
        <f>"5895015774999"</f>
        <v>5895015774999</v>
      </c>
      <c r="U22" s="4" t="str">
        <f>"01-113995"</f>
        <v>01-113995</v>
      </c>
      <c r="V22" s="4" t="str">
        <f>"1504769"</f>
        <v>1504769</v>
      </c>
      <c r="W22" s="4" t="s">
        <v>36</v>
      </c>
      <c r="X22" s="4" t="str">
        <f>"33592"</f>
        <v>33592</v>
      </c>
      <c r="Y22" s="4" t="str">
        <f>"RSU-S-TR"</f>
        <v>RSU-S-TR</v>
      </c>
      <c r="Z22" s="4" t="str">
        <f>""</f>
        <v/>
      </c>
      <c r="AA22" s="4" t="str">
        <f>""</f>
        <v/>
      </c>
      <c r="AB22" s="5">
        <v>43465</v>
      </c>
      <c r="AC22" s="4">
        <v>0</v>
      </c>
    </row>
    <row r="23" spans="1:29" ht="14.45" customHeight="1" x14ac:dyDescent="0.25">
      <c r="A23" s="4" t="s">
        <v>25</v>
      </c>
      <c r="B23" s="4" t="s">
        <v>26</v>
      </c>
      <c r="C23" s="4" t="s">
        <v>27</v>
      </c>
      <c r="D23" s="4" t="s">
        <v>28</v>
      </c>
      <c r="E23" s="4" t="s">
        <v>29</v>
      </c>
      <c r="F23" s="4" t="s">
        <v>30</v>
      </c>
      <c r="G23" s="4" t="s">
        <v>30</v>
      </c>
      <c r="H23" s="4" t="s">
        <v>31</v>
      </c>
      <c r="I23" s="4" t="s">
        <v>61</v>
      </c>
      <c r="J23" s="4" t="str">
        <f>"5895SB0003672"</f>
        <v>5895SB0003672</v>
      </c>
      <c r="K23" s="4" t="s">
        <v>62</v>
      </c>
      <c r="L23" s="4" t="str">
        <f>""</f>
        <v/>
      </c>
      <c r="M23" s="4" t="str">
        <f>""</f>
        <v/>
      </c>
      <c r="N23" s="4" t="s">
        <v>34</v>
      </c>
      <c r="O23" s="3"/>
      <c r="P23" s="3"/>
      <c r="Q23" s="3"/>
      <c r="R23" s="4" t="s">
        <v>35</v>
      </c>
      <c r="S23" s="3"/>
      <c r="T23" s="4" t="str">
        <f>"5895015774999"</f>
        <v>5895015774999</v>
      </c>
      <c r="U23" s="4" t="str">
        <f>"01-113996"</f>
        <v>01-113996</v>
      </c>
      <c r="V23" s="4" t="str">
        <f>"1462685"</f>
        <v>1462685</v>
      </c>
      <c r="W23" s="4" t="s">
        <v>36</v>
      </c>
      <c r="X23" s="4" t="str">
        <f>"33592"</f>
        <v>33592</v>
      </c>
      <c r="Y23" s="4" t="str">
        <f>"RSU-S-TR"</f>
        <v>RSU-S-TR</v>
      </c>
      <c r="Z23" s="4" t="str">
        <f>""</f>
        <v/>
      </c>
      <c r="AA23" s="4" t="str">
        <f>""</f>
        <v/>
      </c>
      <c r="AB23" s="5">
        <v>43465</v>
      </c>
      <c r="AC23" s="4">
        <v>0</v>
      </c>
    </row>
    <row r="24" spans="1:29" ht="14.45" customHeight="1" x14ac:dyDescent="0.25">
      <c r="A24" s="4" t="s">
        <v>25</v>
      </c>
      <c r="B24" s="4" t="s">
        <v>26</v>
      </c>
      <c r="C24" s="4" t="s">
        <v>27</v>
      </c>
      <c r="D24" s="4" t="s">
        <v>28</v>
      </c>
      <c r="E24" s="4" t="s">
        <v>29</v>
      </c>
      <c r="F24" s="4" t="s">
        <v>30</v>
      </c>
      <c r="G24" s="4" t="s">
        <v>30</v>
      </c>
      <c r="H24" s="4" t="s">
        <v>46</v>
      </c>
      <c r="I24" s="4" t="s">
        <v>63</v>
      </c>
      <c r="J24" s="4" t="str">
        <f>"5895SB0003809"</f>
        <v>5895SB0003809</v>
      </c>
      <c r="K24" s="4" t="s">
        <v>64</v>
      </c>
      <c r="L24" s="4" t="str">
        <f>""</f>
        <v/>
      </c>
      <c r="M24" s="4" t="str">
        <f>""</f>
        <v/>
      </c>
      <c r="N24" s="4" t="s">
        <v>34</v>
      </c>
      <c r="O24" s="3"/>
      <c r="P24" s="3"/>
      <c r="Q24" s="3"/>
      <c r="R24" s="4" t="s">
        <v>35</v>
      </c>
      <c r="S24" s="3"/>
      <c r="T24" s="4" t="str">
        <f>"5895145734091"</f>
        <v>5895145734091</v>
      </c>
      <c r="U24" s="4" t="str">
        <f>"NCIA10197687"</f>
        <v>NCIA10197687</v>
      </c>
      <c r="V24" s="4" t="str">
        <f>"005"</f>
        <v>005</v>
      </c>
      <c r="W24" s="4" t="s">
        <v>36</v>
      </c>
      <c r="X24" s="4" t="str">
        <f>"F0057"</f>
        <v>F0057</v>
      </c>
      <c r="Y24" s="4" t="str">
        <f>"62778856AA"</f>
        <v>62778856AA</v>
      </c>
      <c r="Z24" s="4" t="str">
        <f>""</f>
        <v/>
      </c>
      <c r="AA24" s="4" t="str">
        <f>""</f>
        <v/>
      </c>
      <c r="AB24" s="5">
        <v>43465</v>
      </c>
      <c r="AC24" s="4">
        <v>0</v>
      </c>
    </row>
    <row r="25" spans="1:29" ht="14.45" customHeight="1" x14ac:dyDescent="0.25">
      <c r="A25" s="4" t="s">
        <v>25</v>
      </c>
      <c r="B25" s="4" t="s">
        <v>26</v>
      </c>
      <c r="C25" s="4" t="s">
        <v>27</v>
      </c>
      <c r="D25" s="4" t="s">
        <v>28</v>
      </c>
      <c r="E25" s="4" t="s">
        <v>29</v>
      </c>
      <c r="F25" s="4" t="s">
        <v>30</v>
      </c>
      <c r="G25" s="4" t="s">
        <v>30</v>
      </c>
      <c r="H25" s="4" t="s">
        <v>31</v>
      </c>
      <c r="I25" s="4" t="s">
        <v>42</v>
      </c>
      <c r="J25" s="4" t="str">
        <f>"5895SB0004003"</f>
        <v>5895SB0004003</v>
      </c>
      <c r="K25" s="4" t="s">
        <v>65</v>
      </c>
      <c r="L25" s="4" t="str">
        <f>""</f>
        <v/>
      </c>
      <c r="M25" s="4" t="str">
        <f>""</f>
        <v/>
      </c>
      <c r="N25" s="4" t="s">
        <v>34</v>
      </c>
      <c r="O25" s="3"/>
      <c r="P25" s="3"/>
      <c r="Q25" s="3"/>
      <c r="R25" s="4" t="s">
        <v>35</v>
      </c>
      <c r="S25" s="3"/>
      <c r="T25" s="4" t="str">
        <f>"5975145561174"</f>
        <v>5975145561174</v>
      </c>
      <c r="U25" s="4" t="str">
        <f>"03-110553"</f>
        <v>03-110553</v>
      </c>
      <c r="V25" s="4" t="str">
        <f>"61936040AA00029"</f>
        <v>61936040AA00029</v>
      </c>
      <c r="W25" s="4" t="s">
        <v>36</v>
      </c>
      <c r="X25" s="4" t="str">
        <f>"F0057"</f>
        <v>F0057</v>
      </c>
      <c r="Y25" s="4" t="str">
        <f>"61936040AA"</f>
        <v>61936040AA</v>
      </c>
      <c r="Z25" s="4" t="str">
        <f>""</f>
        <v/>
      </c>
      <c r="AA25" s="4" t="str">
        <f>""</f>
        <v/>
      </c>
      <c r="AB25" s="5">
        <v>43465</v>
      </c>
      <c r="AC25" s="4">
        <v>0</v>
      </c>
    </row>
    <row r="26" spans="1:29" ht="14.45" customHeight="1" x14ac:dyDescent="0.25">
      <c r="A26" s="4" t="s">
        <v>25</v>
      </c>
      <c r="B26" s="4" t="s">
        <v>26</v>
      </c>
      <c r="C26" s="4" t="s">
        <v>27</v>
      </c>
      <c r="D26" s="4" t="s">
        <v>28</v>
      </c>
      <c r="E26" s="4" t="s">
        <v>29</v>
      </c>
      <c r="F26" s="4" t="s">
        <v>30</v>
      </c>
      <c r="G26" s="4" t="s">
        <v>30</v>
      </c>
      <c r="H26" s="4" t="s">
        <v>31</v>
      </c>
      <c r="I26" s="4" t="s">
        <v>66</v>
      </c>
      <c r="J26" s="4" t="str">
        <f>"5895SB0016928"</f>
        <v>5895SB0016928</v>
      </c>
      <c r="K26" s="4" t="s">
        <v>67</v>
      </c>
      <c r="L26" s="4" t="str">
        <f>""</f>
        <v/>
      </c>
      <c r="M26" s="4" t="str">
        <f>""</f>
        <v/>
      </c>
      <c r="N26" s="4" t="s">
        <v>34</v>
      </c>
      <c r="O26" s="3"/>
      <c r="P26" s="3"/>
      <c r="Q26" s="3"/>
      <c r="R26" s="4" t="s">
        <v>35</v>
      </c>
      <c r="S26" s="3"/>
      <c r="T26" s="4" t="str">
        <f>"10537-05028"</f>
        <v>10537-05028</v>
      </c>
      <c r="U26" s="4" t="str">
        <f>"NCIAX11173926"</f>
        <v>NCIAX11173926</v>
      </c>
      <c r="V26" s="4" t="str">
        <f>""</f>
        <v/>
      </c>
      <c r="W26" s="4" t="s">
        <v>36</v>
      </c>
      <c r="X26" s="4" t="str">
        <f>"02MQ7"</f>
        <v>02MQ7</v>
      </c>
      <c r="Y26" s="4" t="str">
        <f>"LVD400-A48-B48-23"</f>
        <v>LVD400-A48-B48-23</v>
      </c>
      <c r="Z26" s="4" t="str">
        <f>""</f>
        <v/>
      </c>
      <c r="AA26" s="4" t="str">
        <f>""</f>
        <v/>
      </c>
      <c r="AB26" s="5">
        <v>43465</v>
      </c>
      <c r="AC26" s="4">
        <v>0</v>
      </c>
    </row>
    <row r="27" spans="1:29" ht="14.45" customHeight="1" x14ac:dyDescent="0.25">
      <c r="A27" s="4" t="s">
        <v>25</v>
      </c>
      <c r="B27" s="4" t="s">
        <v>26</v>
      </c>
      <c r="C27" s="4" t="s">
        <v>27</v>
      </c>
      <c r="D27" s="4" t="s">
        <v>28</v>
      </c>
      <c r="E27" s="4" t="s">
        <v>29</v>
      </c>
      <c r="F27" s="4" t="s">
        <v>30</v>
      </c>
      <c r="G27" s="4" t="s">
        <v>30</v>
      </c>
      <c r="H27" s="4" t="s">
        <v>31</v>
      </c>
      <c r="I27" s="4" t="s">
        <v>68</v>
      </c>
      <c r="J27" s="4" t="str">
        <f>"5895SB0039086"</f>
        <v>5895SB0039086</v>
      </c>
      <c r="K27" s="4" t="s">
        <v>69</v>
      </c>
      <c r="L27" s="4" t="str">
        <f>""</f>
        <v/>
      </c>
      <c r="M27" s="4" t="str">
        <f>""</f>
        <v/>
      </c>
      <c r="N27" s="4" t="s">
        <v>34</v>
      </c>
      <c r="O27" s="3"/>
      <c r="P27" s="3"/>
      <c r="Q27" s="3"/>
      <c r="R27" s="4" t="s">
        <v>35</v>
      </c>
      <c r="S27" s="3"/>
      <c r="T27" s="4" t="str">
        <f>""</f>
        <v/>
      </c>
      <c r="U27" s="4" t="str">
        <f>"NCIA10360756"</f>
        <v>NCIA10360756</v>
      </c>
      <c r="V27" s="4" t="str">
        <f>"5731010"</f>
        <v>5731010</v>
      </c>
      <c r="W27" s="4" t="s">
        <v>36</v>
      </c>
      <c r="X27" s="4" t="str">
        <f>"0VMZ0"</f>
        <v>0VMZ0</v>
      </c>
      <c r="Y27" s="4" t="str">
        <f>"YSS.00263"</f>
        <v>YSS.00263</v>
      </c>
      <c r="Z27" s="4" t="str">
        <f>""</f>
        <v/>
      </c>
      <c r="AA27" s="4" t="str">
        <f>""</f>
        <v/>
      </c>
      <c r="AB27" s="5">
        <v>43465</v>
      </c>
      <c r="AC27" s="4">
        <v>0</v>
      </c>
    </row>
    <row r="28" spans="1:29" ht="14.45" customHeight="1" x14ac:dyDescent="0.25">
      <c r="A28" s="4" t="s">
        <v>25</v>
      </c>
      <c r="B28" s="4" t="s">
        <v>26</v>
      </c>
      <c r="C28" s="4" t="s">
        <v>27</v>
      </c>
      <c r="D28" s="4" t="s">
        <v>28</v>
      </c>
      <c r="E28" s="4" t="s">
        <v>29</v>
      </c>
      <c r="F28" s="4" t="s">
        <v>30</v>
      </c>
      <c r="G28" s="4" t="s">
        <v>30</v>
      </c>
      <c r="H28" s="4" t="s">
        <v>31</v>
      </c>
      <c r="I28" s="4" t="s">
        <v>70</v>
      </c>
      <c r="J28" s="4" t="str">
        <f>"5895SB0042339"</f>
        <v>5895SB0042339</v>
      </c>
      <c r="K28" s="4" t="s">
        <v>71</v>
      </c>
      <c r="L28" s="4" t="str">
        <f>""</f>
        <v/>
      </c>
      <c r="M28" s="4" t="str">
        <f>""</f>
        <v/>
      </c>
      <c r="N28" s="4" t="s">
        <v>34</v>
      </c>
      <c r="O28" s="3"/>
      <c r="P28" s="3"/>
      <c r="Q28" s="3"/>
      <c r="R28" s="4" t="s">
        <v>35</v>
      </c>
      <c r="S28" s="3"/>
      <c r="T28" s="4" t="str">
        <f>""</f>
        <v/>
      </c>
      <c r="U28" s="4" t="str">
        <f>"NCIA12013929"</f>
        <v>NCIA12013929</v>
      </c>
      <c r="V28" s="4" t="str">
        <f>"HBTX"</f>
        <v>HBTX</v>
      </c>
      <c r="W28" s="4" t="s">
        <v>36</v>
      </c>
      <c r="X28" s="4" t="str">
        <f>"MC1207"</f>
        <v>MC1207</v>
      </c>
      <c r="Y28" s="4" t="str">
        <f>"TSGT3-UTSGT RMB"</f>
        <v>TSGT3-UTSGT RMB</v>
      </c>
      <c r="Z28" s="4" t="str">
        <f>""</f>
        <v/>
      </c>
      <c r="AA28" s="4" t="str">
        <f>""</f>
        <v/>
      </c>
      <c r="AB28" s="5">
        <v>43725</v>
      </c>
      <c r="AC28" s="4">
        <v>0</v>
      </c>
    </row>
    <row r="29" spans="1:29" ht="14.45" customHeight="1" x14ac:dyDescent="0.25">
      <c r="A29" s="4" t="s">
        <v>25</v>
      </c>
      <c r="B29" s="4" t="s">
        <v>26</v>
      </c>
      <c r="C29" s="4" t="s">
        <v>27</v>
      </c>
      <c r="D29" s="4" t="s">
        <v>28</v>
      </c>
      <c r="E29" s="4" t="s">
        <v>29</v>
      </c>
      <c r="F29" s="4" t="s">
        <v>30</v>
      </c>
      <c r="G29" s="4" t="s">
        <v>30</v>
      </c>
      <c r="H29" s="4" t="s">
        <v>31</v>
      </c>
      <c r="I29" s="4" t="s">
        <v>72</v>
      </c>
      <c r="J29" s="4" t="str">
        <f>"5975SB0002678"</f>
        <v>5975SB0002678</v>
      </c>
      <c r="K29" s="4" t="s">
        <v>73</v>
      </c>
      <c r="L29" s="4" t="str">
        <f>""</f>
        <v/>
      </c>
      <c r="M29" s="4" t="str">
        <f>""</f>
        <v/>
      </c>
      <c r="N29" s="4" t="s">
        <v>34</v>
      </c>
      <c r="O29" s="3"/>
      <c r="P29" s="3"/>
      <c r="Q29" s="3"/>
      <c r="R29" s="4" t="s">
        <v>35</v>
      </c>
      <c r="S29" s="3"/>
      <c r="T29" s="4" t="str">
        <f>"300167"</f>
        <v>300167</v>
      </c>
      <c r="U29" s="4" t="str">
        <f>"01-113785"</f>
        <v>01-113785</v>
      </c>
      <c r="V29" s="4" t="str">
        <f>"2622074-010"</f>
        <v>2622074-010</v>
      </c>
      <c r="W29" s="4" t="s">
        <v>36</v>
      </c>
      <c r="X29" s="4" t="str">
        <f>"59797"</f>
        <v>59797</v>
      </c>
      <c r="Y29" s="4" t="str">
        <f>"300167"</f>
        <v>300167</v>
      </c>
      <c r="Z29" s="4" t="str">
        <f>""</f>
        <v/>
      </c>
      <c r="AA29" s="4" t="str">
        <f>""</f>
        <v/>
      </c>
      <c r="AB29" s="5">
        <v>43465</v>
      </c>
      <c r="AC29" s="4">
        <v>6589.05</v>
      </c>
    </row>
    <row r="30" spans="1:29" ht="14.45" customHeight="1" x14ac:dyDescent="0.25">
      <c r="A30" s="4" t="s">
        <v>25</v>
      </c>
      <c r="B30" s="4" t="s">
        <v>26</v>
      </c>
      <c r="C30" s="4" t="s">
        <v>27</v>
      </c>
      <c r="D30" s="4" t="s">
        <v>28</v>
      </c>
      <c r="E30" s="4" t="s">
        <v>29</v>
      </c>
      <c r="F30" s="4" t="s">
        <v>30</v>
      </c>
      <c r="G30" s="4" t="s">
        <v>30</v>
      </c>
      <c r="H30" s="4" t="s">
        <v>31</v>
      </c>
      <c r="I30" s="4" t="s">
        <v>74</v>
      </c>
      <c r="J30" s="4" t="str">
        <f>"5975SB0003687"</f>
        <v>5975SB0003687</v>
      </c>
      <c r="K30" s="4" t="s">
        <v>75</v>
      </c>
      <c r="L30" s="4" t="str">
        <f>""</f>
        <v/>
      </c>
      <c r="M30" s="4" t="str">
        <f>""</f>
        <v/>
      </c>
      <c r="N30" s="4" t="s">
        <v>34</v>
      </c>
      <c r="O30" s="3"/>
      <c r="P30" s="3"/>
      <c r="Q30" s="3"/>
      <c r="R30" s="4" t="s">
        <v>35</v>
      </c>
      <c r="S30" s="3"/>
      <c r="T30" s="4" t="str">
        <f>"10537-08012"</f>
        <v>10537-08012</v>
      </c>
      <c r="U30" s="4" t="str">
        <f>"01-113989"</f>
        <v>01-113989</v>
      </c>
      <c r="V30" s="4" t="str">
        <f>"1001237"</f>
        <v>1001237</v>
      </c>
      <c r="W30" s="4" t="s">
        <v>36</v>
      </c>
      <c r="X30" s="4" t="str">
        <f>"02MQ7"</f>
        <v>02MQ7</v>
      </c>
      <c r="Y30" s="4" t="str">
        <f>"10537-08012"</f>
        <v>10537-08012</v>
      </c>
      <c r="Z30" s="4" t="str">
        <f>""</f>
        <v/>
      </c>
      <c r="AA30" s="4" t="str">
        <f>""</f>
        <v/>
      </c>
      <c r="AB30" s="5">
        <v>43465</v>
      </c>
      <c r="AC30" s="4">
        <v>3827</v>
      </c>
    </row>
    <row r="31" spans="1:29" ht="14.45" customHeight="1" x14ac:dyDescent="0.25">
      <c r="A31" s="4" t="s">
        <v>25</v>
      </c>
      <c r="B31" s="4" t="s">
        <v>26</v>
      </c>
      <c r="C31" s="4" t="s">
        <v>27</v>
      </c>
      <c r="D31" s="4" t="s">
        <v>28</v>
      </c>
      <c r="E31" s="4" t="s">
        <v>29</v>
      </c>
      <c r="F31" s="4" t="s">
        <v>30</v>
      </c>
      <c r="G31" s="4" t="s">
        <v>30</v>
      </c>
      <c r="H31" s="4" t="s">
        <v>31</v>
      </c>
      <c r="I31" s="4" t="s">
        <v>59</v>
      </c>
      <c r="J31" s="4" t="str">
        <f>"5985SB0001894"</f>
        <v>5985SB0001894</v>
      </c>
      <c r="K31" s="4" t="s">
        <v>76</v>
      </c>
      <c r="L31" s="4" t="str">
        <f>""</f>
        <v/>
      </c>
      <c r="M31" s="4" t="str">
        <f>""</f>
        <v/>
      </c>
      <c r="N31" s="4" t="s">
        <v>34</v>
      </c>
      <c r="O31" s="3"/>
      <c r="P31" s="3"/>
      <c r="Q31" s="3"/>
      <c r="R31" s="4" t="s">
        <v>35</v>
      </c>
      <c r="S31" s="3"/>
      <c r="T31" s="4" t="str">
        <f>"047494-01"</f>
        <v>047494-01</v>
      </c>
      <c r="U31" s="4" t="str">
        <f>"01-113899"</f>
        <v>01-113899</v>
      </c>
      <c r="V31" s="4" t="str">
        <f>"VSA-6215"</f>
        <v>VSA-6215</v>
      </c>
      <c r="W31" s="4" t="s">
        <v>36</v>
      </c>
      <c r="X31" s="4" t="str">
        <f>"1GD22"</f>
        <v>1GD22</v>
      </c>
      <c r="Y31" s="4" t="str">
        <f>"5415-X"</f>
        <v>5415-X</v>
      </c>
      <c r="Z31" s="4" t="str">
        <f>""</f>
        <v/>
      </c>
      <c r="AA31" s="4" t="str">
        <f>""</f>
        <v/>
      </c>
      <c r="AB31" s="5">
        <v>43465</v>
      </c>
      <c r="AC31" s="4">
        <v>0</v>
      </c>
    </row>
    <row r="32" spans="1:29" ht="14.45" customHeight="1" x14ac:dyDescent="0.25">
      <c r="A32" s="4" t="s">
        <v>25</v>
      </c>
      <c r="B32" s="4" t="s">
        <v>26</v>
      </c>
      <c r="C32" s="4" t="s">
        <v>27</v>
      </c>
      <c r="D32" s="4" t="s">
        <v>28</v>
      </c>
      <c r="E32" s="4" t="s">
        <v>29</v>
      </c>
      <c r="F32" s="4" t="s">
        <v>30</v>
      </c>
      <c r="G32" s="4" t="s">
        <v>30</v>
      </c>
      <c r="H32" s="4" t="s">
        <v>31</v>
      </c>
      <c r="I32" s="4" t="s">
        <v>77</v>
      </c>
      <c r="J32" s="4" t="str">
        <f>"5985SB0002170"</f>
        <v>5985SB0002170</v>
      </c>
      <c r="K32" s="4" t="s">
        <v>78</v>
      </c>
      <c r="L32" s="4" t="str">
        <f>""</f>
        <v/>
      </c>
      <c r="M32" s="4" t="str">
        <f>""</f>
        <v/>
      </c>
      <c r="N32" s="4" t="s">
        <v>34</v>
      </c>
      <c r="O32" s="3"/>
      <c r="P32" s="3"/>
      <c r="Q32" s="3"/>
      <c r="R32" s="4" t="s">
        <v>35</v>
      </c>
      <c r="S32" s="3"/>
      <c r="T32" s="4" t="str">
        <f>"5985015847796"</f>
        <v>5985015847796</v>
      </c>
      <c r="U32" s="4" t="str">
        <f>"NCIA12035859"</f>
        <v>NCIA12035859</v>
      </c>
      <c r="V32" s="4" t="str">
        <f>"191401901"</f>
        <v>191401901</v>
      </c>
      <c r="W32" s="4" t="s">
        <v>36</v>
      </c>
      <c r="X32" s="4" t="str">
        <f>"02MQ7"</f>
        <v>02MQ7</v>
      </c>
      <c r="Y32" s="4" t="str">
        <f>"123T-02-S04A-02"</f>
        <v>123T-02-S04A-02</v>
      </c>
      <c r="Z32" s="4" t="str">
        <f>""</f>
        <v/>
      </c>
      <c r="AA32" s="4" t="str">
        <f>""</f>
        <v/>
      </c>
      <c r="AB32" s="5">
        <v>44000</v>
      </c>
      <c r="AC32" s="6">
        <v>159657479632519</v>
      </c>
    </row>
    <row r="33" spans="1:29" ht="14.45" customHeight="1" x14ac:dyDescent="0.25">
      <c r="A33" s="4" t="s">
        <v>25</v>
      </c>
      <c r="B33" s="4" t="s">
        <v>26</v>
      </c>
      <c r="C33" s="4" t="s">
        <v>27</v>
      </c>
      <c r="D33" s="4" t="s">
        <v>28</v>
      </c>
      <c r="E33" s="4" t="s">
        <v>29</v>
      </c>
      <c r="F33" s="4" t="s">
        <v>30</v>
      </c>
      <c r="G33" s="4" t="s">
        <v>30</v>
      </c>
      <c r="H33" s="4" t="s">
        <v>31</v>
      </c>
      <c r="I33" s="4" t="s">
        <v>59</v>
      </c>
      <c r="J33" s="4" t="str">
        <f>"5985SB0002507"</f>
        <v>5985SB0002507</v>
      </c>
      <c r="K33" s="4" t="s">
        <v>79</v>
      </c>
      <c r="L33" s="4" t="str">
        <f>""</f>
        <v/>
      </c>
      <c r="M33" s="4" t="str">
        <f>""</f>
        <v/>
      </c>
      <c r="N33" s="4" t="s">
        <v>34</v>
      </c>
      <c r="O33" s="3"/>
      <c r="P33" s="3"/>
      <c r="Q33" s="3"/>
      <c r="R33" s="4" t="s">
        <v>35</v>
      </c>
      <c r="S33" s="3"/>
      <c r="T33" s="4" t="str">
        <f>"12719-301"</f>
        <v>12719-301</v>
      </c>
      <c r="U33" s="4" t="str">
        <f>"01-113991"</f>
        <v>01-113991</v>
      </c>
      <c r="V33" s="4" t="str">
        <f>"12719-01"</f>
        <v>12719-01</v>
      </c>
      <c r="W33" s="4" t="s">
        <v>36</v>
      </c>
      <c r="X33" s="4" t="str">
        <f>"0BFK7"</f>
        <v>0BFK7</v>
      </c>
      <c r="Y33" s="4" t="str">
        <f>"12719-301"</f>
        <v>12719-301</v>
      </c>
      <c r="Z33" s="4" t="str">
        <f>""</f>
        <v/>
      </c>
      <c r="AA33" s="4" t="str">
        <f>""</f>
        <v/>
      </c>
      <c r="AB33" s="5">
        <v>43465</v>
      </c>
      <c r="AC33" s="4">
        <v>0</v>
      </c>
    </row>
    <row r="34" spans="1:29" ht="14.45" customHeight="1" x14ac:dyDescent="0.25">
      <c r="A34" s="4" t="s">
        <v>25</v>
      </c>
      <c r="B34" s="4" t="s">
        <v>26</v>
      </c>
      <c r="C34" s="4" t="s">
        <v>27</v>
      </c>
      <c r="D34" s="4" t="s">
        <v>28</v>
      </c>
      <c r="E34" s="4" t="s">
        <v>29</v>
      </c>
      <c r="F34" s="4" t="s">
        <v>30</v>
      </c>
      <c r="G34" s="4" t="s">
        <v>30</v>
      </c>
      <c r="H34" s="4" t="s">
        <v>31</v>
      </c>
      <c r="I34" s="4" t="s">
        <v>59</v>
      </c>
      <c r="J34" s="4" t="str">
        <f>"5985SB0002508"</f>
        <v>5985SB0002508</v>
      </c>
      <c r="K34" s="4" t="s">
        <v>80</v>
      </c>
      <c r="L34" s="4" t="str">
        <f>""</f>
        <v/>
      </c>
      <c r="M34" s="4" t="str">
        <f>""</f>
        <v/>
      </c>
      <c r="N34" s="4" t="s">
        <v>34</v>
      </c>
      <c r="O34" s="3"/>
      <c r="P34" s="3"/>
      <c r="Q34" s="3"/>
      <c r="R34" s="4" t="s">
        <v>35</v>
      </c>
      <c r="S34" s="3"/>
      <c r="T34" s="4" t="str">
        <f>"12721-101"</f>
        <v>12721-101</v>
      </c>
      <c r="U34" s="4" t="str">
        <f>"01-113993"</f>
        <v>01-113993</v>
      </c>
      <c r="V34" s="4" t="str">
        <f>"12721-04"</f>
        <v>12721-04</v>
      </c>
      <c r="W34" s="4" t="s">
        <v>36</v>
      </c>
      <c r="X34" s="4" t="str">
        <f>"0BFK7"</f>
        <v>0BFK7</v>
      </c>
      <c r="Y34" s="4" t="str">
        <f>"12721-101"</f>
        <v>12721-101</v>
      </c>
      <c r="Z34" s="4" t="str">
        <f>""</f>
        <v/>
      </c>
      <c r="AA34" s="4" t="str">
        <f>""</f>
        <v/>
      </c>
      <c r="AB34" s="5">
        <v>43465</v>
      </c>
      <c r="AC34" s="4">
        <v>0</v>
      </c>
    </row>
    <row r="35" spans="1:29" ht="14.45" customHeight="1" x14ac:dyDescent="0.25">
      <c r="A35" s="4" t="s">
        <v>25</v>
      </c>
      <c r="B35" s="4" t="s">
        <v>26</v>
      </c>
      <c r="C35" s="4" t="s">
        <v>27</v>
      </c>
      <c r="D35" s="4" t="s">
        <v>28</v>
      </c>
      <c r="E35" s="4" t="s">
        <v>29</v>
      </c>
      <c r="F35" s="4" t="s">
        <v>30</v>
      </c>
      <c r="G35" s="4" t="s">
        <v>30</v>
      </c>
      <c r="H35" s="4" t="s">
        <v>31</v>
      </c>
      <c r="I35" s="4" t="s">
        <v>81</v>
      </c>
      <c r="J35" s="4" t="str">
        <f>"5985SB0061589"</f>
        <v>5985SB0061589</v>
      </c>
      <c r="K35" s="4" t="s">
        <v>82</v>
      </c>
      <c r="L35" s="4" t="str">
        <f>""</f>
        <v/>
      </c>
      <c r="M35" s="4" t="str">
        <f>""</f>
        <v/>
      </c>
      <c r="N35" s="4" t="s">
        <v>34</v>
      </c>
      <c r="O35" s="3"/>
      <c r="P35" s="3"/>
      <c r="Q35" s="3"/>
      <c r="R35" s="4" t="s">
        <v>35</v>
      </c>
      <c r="S35" s="3"/>
      <c r="T35" s="4" t="str">
        <f>""</f>
        <v/>
      </c>
      <c r="U35" s="4" t="str">
        <f>"NCIA12068720"</f>
        <v>NCIA12068720</v>
      </c>
      <c r="V35" s="4" t="str">
        <f>"196352001"</f>
        <v>196352001</v>
      </c>
      <c r="W35" s="4" t="s">
        <v>36</v>
      </c>
      <c r="X35" s="4" t="str">
        <f>"02MQ7"</f>
        <v>02MQ7</v>
      </c>
      <c r="Y35" s="4" t="str">
        <f>"LXA7S45-12X7"</f>
        <v>LXA7S45-12X7</v>
      </c>
      <c r="Z35" s="4" t="str">
        <f>""</f>
        <v/>
      </c>
      <c r="AA35" s="4" t="str">
        <f>""</f>
        <v/>
      </c>
      <c r="AB35" s="5">
        <v>44257</v>
      </c>
      <c r="AC35" s="4">
        <v>0</v>
      </c>
    </row>
    <row r="36" spans="1:29" ht="14.45" customHeight="1" x14ac:dyDescent="0.25">
      <c r="A36" s="4" t="s">
        <v>25</v>
      </c>
      <c r="B36" s="4" t="s">
        <v>26</v>
      </c>
      <c r="C36" s="4" t="s">
        <v>27</v>
      </c>
      <c r="D36" s="4" t="s">
        <v>28</v>
      </c>
      <c r="E36" s="4" t="s">
        <v>29</v>
      </c>
      <c r="F36" s="4" t="s">
        <v>30</v>
      </c>
      <c r="G36" s="4" t="s">
        <v>30</v>
      </c>
      <c r="H36" s="4" t="s">
        <v>31</v>
      </c>
      <c r="I36" s="4" t="s">
        <v>81</v>
      </c>
      <c r="J36" s="4" t="str">
        <f>"5985SB0061589"</f>
        <v>5985SB0061589</v>
      </c>
      <c r="K36" s="4" t="s">
        <v>82</v>
      </c>
      <c r="L36" s="4" t="str">
        <f>""</f>
        <v/>
      </c>
      <c r="M36" s="4" t="str">
        <f>""</f>
        <v/>
      </c>
      <c r="N36" s="4" t="s">
        <v>34</v>
      </c>
      <c r="O36" s="3"/>
      <c r="P36" s="3"/>
      <c r="Q36" s="3"/>
      <c r="R36" s="4" t="s">
        <v>35</v>
      </c>
      <c r="S36" s="3"/>
      <c r="T36" s="4" t="str">
        <f>""</f>
        <v/>
      </c>
      <c r="U36" s="4" t="str">
        <f>"NCIA12068721"</f>
        <v>NCIA12068721</v>
      </c>
      <c r="V36" s="4" t="str">
        <f>"196352101"</f>
        <v>196352101</v>
      </c>
      <c r="W36" s="4" t="s">
        <v>36</v>
      </c>
      <c r="X36" s="4" t="str">
        <f>"02MQ7"</f>
        <v>02MQ7</v>
      </c>
      <c r="Y36" s="4" t="str">
        <f>"LXA7S45-12X7"</f>
        <v>LXA7S45-12X7</v>
      </c>
      <c r="Z36" s="4" t="str">
        <f>""</f>
        <v/>
      </c>
      <c r="AA36" s="4" t="str">
        <f>""</f>
        <v/>
      </c>
      <c r="AB36" s="5">
        <v>44257</v>
      </c>
      <c r="AC36" s="4">
        <v>0</v>
      </c>
    </row>
    <row r="37" spans="1:29" ht="14.45" customHeight="1" x14ac:dyDescent="0.25">
      <c r="A37" s="4" t="s">
        <v>25</v>
      </c>
      <c r="B37" s="4" t="s">
        <v>26</v>
      </c>
      <c r="C37" s="4" t="s">
        <v>27</v>
      </c>
      <c r="D37" s="4" t="s">
        <v>28</v>
      </c>
      <c r="E37" s="4" t="s">
        <v>29</v>
      </c>
      <c r="F37" s="4" t="s">
        <v>30</v>
      </c>
      <c r="G37" s="4" t="s">
        <v>30</v>
      </c>
      <c r="H37" s="4" t="s">
        <v>31</v>
      </c>
      <c r="I37" s="4" t="s">
        <v>83</v>
      </c>
      <c r="J37" s="4" t="str">
        <f>"5995SB0003715"</f>
        <v>5995SB0003715</v>
      </c>
      <c r="K37" s="4" t="s">
        <v>84</v>
      </c>
      <c r="L37" s="4" t="str">
        <f>""</f>
        <v/>
      </c>
      <c r="M37" s="4" t="str">
        <f>""</f>
        <v/>
      </c>
      <c r="N37" s="4" t="s">
        <v>34</v>
      </c>
      <c r="O37" s="3"/>
      <c r="P37" s="3"/>
      <c r="Q37" s="3"/>
      <c r="R37" s="4" t="s">
        <v>35</v>
      </c>
      <c r="S37" s="3"/>
      <c r="T37" s="4" t="str">
        <f>"6150016214694"</f>
        <v>6150016214694</v>
      </c>
      <c r="U37" s="4" t="str">
        <f>"01-114042"</f>
        <v>01-114042</v>
      </c>
      <c r="V37" s="4" t="str">
        <f>"9319-W071"</f>
        <v>9319-W071</v>
      </c>
      <c r="W37" s="4" t="s">
        <v>36</v>
      </c>
      <c r="X37" s="4" t="str">
        <f>"34078"</f>
        <v>34078</v>
      </c>
      <c r="Y37" s="4" t="str">
        <f>"731-00405-00"</f>
        <v>731-00405-00</v>
      </c>
      <c r="Z37" s="4" t="str">
        <f>""</f>
        <v/>
      </c>
      <c r="AA37" s="4" t="str">
        <f>""</f>
        <v/>
      </c>
      <c r="AB37" s="5">
        <v>43465</v>
      </c>
      <c r="AC37" s="6">
        <v>2546251111111110</v>
      </c>
    </row>
    <row r="38" spans="1:29" ht="14.45" customHeight="1" x14ac:dyDescent="0.25">
      <c r="A38" s="4" t="s">
        <v>25</v>
      </c>
      <c r="B38" s="4" t="s">
        <v>26</v>
      </c>
      <c r="C38" s="4" t="s">
        <v>27</v>
      </c>
      <c r="D38" s="4" t="s">
        <v>28</v>
      </c>
      <c r="E38" s="4" t="s">
        <v>29</v>
      </c>
      <c r="F38" s="4" t="s">
        <v>30</v>
      </c>
      <c r="G38" s="4" t="s">
        <v>30</v>
      </c>
      <c r="H38" s="4" t="s">
        <v>31</v>
      </c>
      <c r="I38" s="4" t="s">
        <v>83</v>
      </c>
      <c r="J38" s="4" t="str">
        <f>"5995SB0003715"</f>
        <v>5995SB0003715</v>
      </c>
      <c r="K38" s="4" t="s">
        <v>84</v>
      </c>
      <c r="L38" s="4" t="str">
        <f>""</f>
        <v/>
      </c>
      <c r="M38" s="4" t="str">
        <f>""</f>
        <v/>
      </c>
      <c r="N38" s="4" t="s">
        <v>34</v>
      </c>
      <c r="O38" s="3"/>
      <c r="P38" s="3"/>
      <c r="Q38" s="3"/>
      <c r="R38" s="4" t="s">
        <v>35</v>
      </c>
      <c r="S38" s="3"/>
      <c r="T38" s="4" t="str">
        <f>"6150016214694"</f>
        <v>6150016214694</v>
      </c>
      <c r="U38" s="4" t="str">
        <f>"01-114043"</f>
        <v>01-114043</v>
      </c>
      <c r="V38" s="4" t="str">
        <f>"9319-W055"</f>
        <v>9319-W055</v>
      </c>
      <c r="W38" s="4" t="s">
        <v>36</v>
      </c>
      <c r="X38" s="4" t="str">
        <f>"34078"</f>
        <v>34078</v>
      </c>
      <c r="Y38" s="4" t="str">
        <f>"731-00405-00"</f>
        <v>731-00405-00</v>
      </c>
      <c r="Z38" s="4" t="str">
        <f>""</f>
        <v/>
      </c>
      <c r="AA38" s="4" t="str">
        <f>""</f>
        <v/>
      </c>
      <c r="AB38" s="5">
        <v>43465</v>
      </c>
      <c r="AC38" s="6">
        <v>2546251111111110</v>
      </c>
    </row>
    <row r="39" spans="1:29" ht="14.45" customHeight="1" x14ac:dyDescent="0.25">
      <c r="A39" s="4" t="s">
        <v>25</v>
      </c>
      <c r="B39" s="4" t="s">
        <v>26</v>
      </c>
      <c r="C39" s="4" t="s">
        <v>27</v>
      </c>
      <c r="D39" s="4" t="s">
        <v>28</v>
      </c>
      <c r="E39" s="4" t="s">
        <v>29</v>
      </c>
      <c r="F39" s="4" t="s">
        <v>30</v>
      </c>
      <c r="G39" s="4" t="s">
        <v>30</v>
      </c>
      <c r="H39" s="4" t="s">
        <v>31</v>
      </c>
      <c r="I39" s="4" t="s">
        <v>85</v>
      </c>
      <c r="J39" s="4" t="str">
        <f>"5996SB0001968"</f>
        <v>5996SB0001968</v>
      </c>
      <c r="K39" s="4" t="s">
        <v>86</v>
      </c>
      <c r="L39" s="4" t="str">
        <f>""</f>
        <v/>
      </c>
      <c r="M39" s="4" t="str">
        <f>""</f>
        <v/>
      </c>
      <c r="N39" s="4" t="s">
        <v>34</v>
      </c>
      <c r="O39" s="3"/>
      <c r="P39" s="3"/>
      <c r="Q39" s="3"/>
      <c r="R39" s="4" t="s">
        <v>35</v>
      </c>
      <c r="S39" s="3"/>
      <c r="T39" s="4" t="str">
        <f>"L207155-1"</f>
        <v>L207155-1</v>
      </c>
      <c r="U39" s="4" t="str">
        <f>"01-114108"</f>
        <v>01-114108</v>
      </c>
      <c r="V39" s="4" t="str">
        <f>"202696"</f>
        <v>202696</v>
      </c>
      <c r="W39" s="4" t="s">
        <v>36</v>
      </c>
      <c r="X39" s="4" t="str">
        <f>"1GLV3"</f>
        <v>1GLV3</v>
      </c>
      <c r="Y39" s="4" t="str">
        <f>"L207155-1"</f>
        <v>L207155-1</v>
      </c>
      <c r="Z39" s="4" t="str">
        <f>""</f>
        <v/>
      </c>
      <c r="AA39" s="4" t="str">
        <f>""</f>
        <v/>
      </c>
      <c r="AB39" s="5">
        <v>43465</v>
      </c>
      <c r="AC39" s="6">
        <v>2.96456980533333E+16</v>
      </c>
    </row>
    <row r="40" spans="1:29" ht="14.45" customHeight="1" x14ac:dyDescent="0.25">
      <c r="A40" s="4" t="s">
        <v>25</v>
      </c>
      <c r="B40" s="4" t="s">
        <v>26</v>
      </c>
      <c r="C40" s="4" t="s">
        <v>27</v>
      </c>
      <c r="D40" s="4" t="s">
        <v>28</v>
      </c>
      <c r="E40" s="4" t="s">
        <v>29</v>
      </c>
      <c r="F40" s="4" t="s">
        <v>30</v>
      </c>
      <c r="G40" s="4" t="s">
        <v>30</v>
      </c>
      <c r="H40" s="4" t="s">
        <v>31</v>
      </c>
      <c r="I40" s="4" t="s">
        <v>85</v>
      </c>
      <c r="J40" s="4" t="str">
        <f>"5996SB0001968"</f>
        <v>5996SB0001968</v>
      </c>
      <c r="K40" s="4" t="s">
        <v>86</v>
      </c>
      <c r="L40" s="4" t="str">
        <f>""</f>
        <v/>
      </c>
      <c r="M40" s="4" t="str">
        <f>""</f>
        <v/>
      </c>
      <c r="N40" s="4" t="s">
        <v>34</v>
      </c>
      <c r="O40" s="3"/>
      <c r="P40" s="3"/>
      <c r="Q40" s="3"/>
      <c r="R40" s="4" t="s">
        <v>35</v>
      </c>
      <c r="S40" s="3"/>
      <c r="T40" s="4" t="str">
        <f>"L207155-1"</f>
        <v>L207155-1</v>
      </c>
      <c r="U40" s="4" t="str">
        <f>"03-130910"</f>
        <v>03-130910</v>
      </c>
      <c r="V40" s="4" t="str">
        <f>"1002164"</f>
        <v>1002164</v>
      </c>
      <c r="W40" s="4" t="s">
        <v>36</v>
      </c>
      <c r="X40" s="4" t="str">
        <f>"1GLV3"</f>
        <v>1GLV3</v>
      </c>
      <c r="Y40" s="4" t="str">
        <f>"L207155-1"</f>
        <v>L207155-1</v>
      </c>
      <c r="Z40" s="4" t="str">
        <f>""</f>
        <v/>
      </c>
      <c r="AA40" s="4" t="str">
        <f>""</f>
        <v/>
      </c>
      <c r="AB40" s="5">
        <v>43465</v>
      </c>
      <c r="AC40" s="6">
        <v>2.96456980533333E+16</v>
      </c>
    </row>
    <row r="41" spans="1:29" ht="14.45" customHeight="1" x14ac:dyDescent="0.25">
      <c r="A41" s="4" t="s">
        <v>25</v>
      </c>
      <c r="B41" s="4" t="s">
        <v>26</v>
      </c>
      <c r="C41" s="4" t="s">
        <v>27</v>
      </c>
      <c r="D41" s="4" t="s">
        <v>28</v>
      </c>
      <c r="E41" s="4" t="s">
        <v>29</v>
      </c>
      <c r="F41" s="4" t="s">
        <v>30</v>
      </c>
      <c r="G41" s="4" t="s">
        <v>30</v>
      </c>
      <c r="H41" s="4" t="s">
        <v>31</v>
      </c>
      <c r="I41" s="4" t="s">
        <v>61</v>
      </c>
      <c r="J41" s="4" t="str">
        <f>"5996SB0002404"</f>
        <v>5996SB0002404</v>
      </c>
      <c r="K41" s="4" t="s">
        <v>87</v>
      </c>
      <c r="L41" s="4" t="str">
        <f>""</f>
        <v/>
      </c>
      <c r="M41" s="4" t="str">
        <f>""</f>
        <v/>
      </c>
      <c r="N41" s="4" t="s">
        <v>34</v>
      </c>
      <c r="O41" s="3"/>
      <c r="P41" s="3"/>
      <c r="Q41" s="3"/>
      <c r="R41" s="4" t="s">
        <v>35</v>
      </c>
      <c r="S41" s="3"/>
      <c r="T41" s="4" t="str">
        <f>"10537-05025"</f>
        <v>10537-05025</v>
      </c>
      <c r="U41" s="4" t="str">
        <f>"01-113951"</f>
        <v>01-113951</v>
      </c>
      <c r="V41" s="4" t="str">
        <f>"1000671"</f>
        <v>1000671</v>
      </c>
      <c r="W41" s="4" t="s">
        <v>36</v>
      </c>
      <c r="X41" s="4" t="str">
        <f>"02MQ7"</f>
        <v>02MQ7</v>
      </c>
      <c r="Y41" s="4" t="str">
        <f>"10537-05025"</f>
        <v>10537-05025</v>
      </c>
      <c r="Z41" s="4" t="str">
        <f>""</f>
        <v/>
      </c>
      <c r="AA41" s="4" t="str">
        <f>""</f>
        <v/>
      </c>
      <c r="AB41" s="5">
        <v>43465</v>
      </c>
      <c r="AC41" s="4">
        <v>0</v>
      </c>
    </row>
    <row r="42" spans="1:29" ht="14.45" customHeight="1" x14ac:dyDescent="0.25">
      <c r="A42" s="4" t="s">
        <v>25</v>
      </c>
      <c r="B42" s="4" t="s">
        <v>26</v>
      </c>
      <c r="C42" s="4" t="s">
        <v>27</v>
      </c>
      <c r="D42" s="4" t="s">
        <v>28</v>
      </c>
      <c r="E42" s="4" t="s">
        <v>29</v>
      </c>
      <c r="F42" s="4" t="s">
        <v>30</v>
      </c>
      <c r="G42" s="4" t="s">
        <v>30</v>
      </c>
      <c r="H42" s="4" t="s">
        <v>31</v>
      </c>
      <c r="I42" s="4" t="s">
        <v>61</v>
      </c>
      <c r="J42" s="4" t="str">
        <f>"5996SB0002404"</f>
        <v>5996SB0002404</v>
      </c>
      <c r="K42" s="4" t="s">
        <v>87</v>
      </c>
      <c r="L42" s="4" t="str">
        <f>""</f>
        <v/>
      </c>
      <c r="M42" s="4" t="str">
        <f>""</f>
        <v/>
      </c>
      <c r="N42" s="4" t="s">
        <v>34</v>
      </c>
      <c r="O42" s="3"/>
      <c r="P42" s="3"/>
      <c r="Q42" s="3"/>
      <c r="R42" s="4" t="s">
        <v>35</v>
      </c>
      <c r="S42" s="3"/>
      <c r="T42" s="4" t="str">
        <f>"10537-05025"</f>
        <v>10537-05025</v>
      </c>
      <c r="U42" s="4" t="str">
        <f>"01-113952"</f>
        <v>01-113952</v>
      </c>
      <c r="V42" s="4" t="str">
        <f>"1000672"</f>
        <v>1000672</v>
      </c>
      <c r="W42" s="4" t="s">
        <v>36</v>
      </c>
      <c r="X42" s="4" t="str">
        <f>"02MQ7"</f>
        <v>02MQ7</v>
      </c>
      <c r="Y42" s="4" t="str">
        <f>"10537-05025"</f>
        <v>10537-05025</v>
      </c>
      <c r="Z42" s="4" t="str">
        <f>""</f>
        <v/>
      </c>
      <c r="AA42" s="4" t="str">
        <f>""</f>
        <v/>
      </c>
      <c r="AB42" s="5">
        <v>43465</v>
      </c>
      <c r="AC42" s="4">
        <v>0</v>
      </c>
    </row>
    <row r="43" spans="1:29" ht="14.45" customHeight="1" x14ac:dyDescent="0.25">
      <c r="A43" s="4" t="s">
        <v>25</v>
      </c>
      <c r="B43" s="4" t="s">
        <v>26</v>
      </c>
      <c r="C43" s="4" t="s">
        <v>27</v>
      </c>
      <c r="D43" s="4" t="s">
        <v>28</v>
      </c>
      <c r="E43" s="4" t="s">
        <v>29</v>
      </c>
      <c r="F43" s="4" t="s">
        <v>30</v>
      </c>
      <c r="G43" s="4" t="s">
        <v>30</v>
      </c>
      <c r="H43" s="4" t="s">
        <v>31</v>
      </c>
      <c r="I43" s="4" t="s">
        <v>61</v>
      </c>
      <c r="J43" s="4" t="str">
        <f>"5996SB0002404"</f>
        <v>5996SB0002404</v>
      </c>
      <c r="K43" s="4" t="s">
        <v>87</v>
      </c>
      <c r="L43" s="4" t="str">
        <f>""</f>
        <v/>
      </c>
      <c r="M43" s="4" t="str">
        <f>""</f>
        <v/>
      </c>
      <c r="N43" s="4" t="s">
        <v>34</v>
      </c>
      <c r="O43" s="3"/>
      <c r="P43" s="3"/>
      <c r="Q43" s="3"/>
      <c r="R43" s="4" t="s">
        <v>35</v>
      </c>
      <c r="S43" s="3"/>
      <c r="T43" s="4" t="str">
        <f>"10537-05025"</f>
        <v>10537-05025</v>
      </c>
      <c r="U43" s="4" t="str">
        <f>"01-113953"</f>
        <v>01-113953</v>
      </c>
      <c r="V43" s="4" t="str">
        <f>"1000673"</f>
        <v>1000673</v>
      </c>
      <c r="W43" s="4" t="s">
        <v>36</v>
      </c>
      <c r="X43" s="4" t="str">
        <f>"02MQ7"</f>
        <v>02MQ7</v>
      </c>
      <c r="Y43" s="4" t="str">
        <f>"10537-05025"</f>
        <v>10537-05025</v>
      </c>
      <c r="Z43" s="4" t="str">
        <f>""</f>
        <v/>
      </c>
      <c r="AA43" s="4" t="str">
        <f>""</f>
        <v/>
      </c>
      <c r="AB43" s="5">
        <v>43465</v>
      </c>
      <c r="AC43" s="4">
        <v>0</v>
      </c>
    </row>
    <row r="44" spans="1:29" ht="14.45" customHeight="1" x14ac:dyDescent="0.25">
      <c r="A44" s="4" t="s">
        <v>25</v>
      </c>
      <c r="B44" s="4" t="s">
        <v>26</v>
      </c>
      <c r="C44" s="4" t="s">
        <v>27</v>
      </c>
      <c r="D44" s="4" t="s">
        <v>28</v>
      </c>
      <c r="E44" s="4" t="s">
        <v>29</v>
      </c>
      <c r="F44" s="4" t="s">
        <v>30</v>
      </c>
      <c r="G44" s="4" t="s">
        <v>30</v>
      </c>
      <c r="H44" s="4" t="s">
        <v>31</v>
      </c>
      <c r="I44" s="4" t="s">
        <v>37</v>
      </c>
      <c r="J44" s="4" t="str">
        <f>"5998SB0002962"</f>
        <v>5998SB0002962</v>
      </c>
      <c r="K44" s="4" t="s">
        <v>88</v>
      </c>
      <c r="L44" s="4" t="str">
        <f>""</f>
        <v/>
      </c>
      <c r="M44" s="4" t="str">
        <f>""</f>
        <v/>
      </c>
      <c r="N44" s="4" t="s">
        <v>34</v>
      </c>
      <c r="O44" s="3"/>
      <c r="P44" s="3"/>
      <c r="Q44" s="3"/>
      <c r="R44" s="4" t="s">
        <v>35</v>
      </c>
      <c r="S44" s="3"/>
      <c r="T44" s="4" t="str">
        <f>"10538-05028"</f>
        <v>10538-05028</v>
      </c>
      <c r="U44" s="4" t="str">
        <f>"NCIAX11180541"</f>
        <v>NCIAX11180541</v>
      </c>
      <c r="V44" s="4" t="str">
        <f>""</f>
        <v/>
      </c>
      <c r="W44" s="4" t="s">
        <v>36</v>
      </c>
      <c r="X44" s="4" t="str">
        <f>"02MQ7"</f>
        <v>02MQ7</v>
      </c>
      <c r="Y44" s="4" t="str">
        <f>"10538-05028"</f>
        <v>10538-05028</v>
      </c>
      <c r="Z44" s="4" t="str">
        <f>""</f>
        <v/>
      </c>
      <c r="AA44" s="4" t="str">
        <f>""</f>
        <v/>
      </c>
      <c r="AB44" s="5">
        <v>43465</v>
      </c>
      <c r="AC44" s="4">
        <v>0</v>
      </c>
    </row>
    <row r="45" spans="1:29" ht="14.45" customHeight="1" x14ac:dyDescent="0.25">
      <c r="A45" s="4" t="s">
        <v>25</v>
      </c>
      <c r="B45" s="4" t="s">
        <v>26</v>
      </c>
      <c r="C45" s="4" t="s">
        <v>27</v>
      </c>
      <c r="D45" s="4" t="s">
        <v>28</v>
      </c>
      <c r="E45" s="4" t="s">
        <v>29</v>
      </c>
      <c r="F45" s="4" t="s">
        <v>30</v>
      </c>
      <c r="G45" s="4" t="s">
        <v>30</v>
      </c>
      <c r="H45" s="4" t="s">
        <v>31</v>
      </c>
      <c r="I45" s="4" t="s">
        <v>42</v>
      </c>
      <c r="J45" s="4" t="str">
        <f>"5998SB0004004"</f>
        <v>5998SB0004004</v>
      </c>
      <c r="K45" s="4" t="s">
        <v>89</v>
      </c>
      <c r="L45" s="4" t="str">
        <f>""</f>
        <v/>
      </c>
      <c r="M45" s="4" t="str">
        <f>""</f>
        <v/>
      </c>
      <c r="N45" s="4" t="s">
        <v>34</v>
      </c>
      <c r="O45" s="3"/>
      <c r="P45" s="3"/>
      <c r="Q45" s="3"/>
      <c r="R45" s="4" t="s">
        <v>35</v>
      </c>
      <c r="S45" s="3"/>
      <c r="T45" s="4" t="str">
        <f>"5998145561175"</f>
        <v>5998145561175</v>
      </c>
      <c r="U45" s="4" t="str">
        <f>"03-110440"</f>
        <v>03-110440</v>
      </c>
      <c r="V45" s="4" t="str">
        <f>"61818758AA00044"</f>
        <v>61818758AA00044</v>
      </c>
      <c r="W45" s="4" t="s">
        <v>36</v>
      </c>
      <c r="X45" s="4" t="str">
        <f t="shared" ref="X45:X50" si="0">"F0057"</f>
        <v>F0057</v>
      </c>
      <c r="Y45" s="4" t="str">
        <f>"61818758AA"</f>
        <v>61818758AA</v>
      </c>
      <c r="Z45" s="4" t="str">
        <f>""</f>
        <v/>
      </c>
      <c r="AA45" s="4" t="str">
        <f>""</f>
        <v/>
      </c>
      <c r="AB45" s="5">
        <v>43465</v>
      </c>
      <c r="AC45" s="4">
        <v>2608.9699999999998</v>
      </c>
    </row>
    <row r="46" spans="1:29" ht="14.45" customHeight="1" x14ac:dyDescent="0.25">
      <c r="A46" s="4" t="s">
        <v>25</v>
      </c>
      <c r="B46" s="4" t="s">
        <v>26</v>
      </c>
      <c r="C46" s="4" t="s">
        <v>27</v>
      </c>
      <c r="D46" s="4" t="s">
        <v>28</v>
      </c>
      <c r="E46" s="4" t="s">
        <v>29</v>
      </c>
      <c r="F46" s="4" t="s">
        <v>30</v>
      </c>
      <c r="G46" s="4" t="s">
        <v>30</v>
      </c>
      <c r="H46" s="4" t="s">
        <v>31</v>
      </c>
      <c r="I46" s="4" t="s">
        <v>42</v>
      </c>
      <c r="J46" s="4" t="str">
        <f>"5998SB0004761"</f>
        <v>5998SB0004761</v>
      </c>
      <c r="K46" s="4" t="s">
        <v>90</v>
      </c>
      <c r="L46" s="4" t="str">
        <f>""</f>
        <v/>
      </c>
      <c r="M46" s="4" t="str">
        <f>""</f>
        <v/>
      </c>
      <c r="N46" s="4" t="s">
        <v>34</v>
      </c>
      <c r="O46" s="3"/>
      <c r="P46" s="3"/>
      <c r="Q46" s="3"/>
      <c r="R46" s="4" t="s">
        <v>35</v>
      </c>
      <c r="S46" s="3"/>
      <c r="T46" s="4" t="str">
        <f>"5998145560368"</f>
        <v>5998145560368</v>
      </c>
      <c r="U46" s="4" t="str">
        <f>"03-110439"</f>
        <v>03-110439</v>
      </c>
      <c r="V46" s="4" t="str">
        <f>"62063591AA00188"</f>
        <v>62063591AA00188</v>
      </c>
      <c r="W46" s="4" t="s">
        <v>36</v>
      </c>
      <c r="X46" s="4" t="str">
        <f t="shared" si="0"/>
        <v>F0057</v>
      </c>
      <c r="Y46" s="4" t="str">
        <f>"62063591AA"</f>
        <v>62063591AA</v>
      </c>
      <c r="Z46" s="4" t="str">
        <f>""</f>
        <v/>
      </c>
      <c r="AA46" s="4" t="str">
        <f>""</f>
        <v/>
      </c>
      <c r="AB46" s="5">
        <v>43465</v>
      </c>
      <c r="AC46" s="4">
        <v>1565.38</v>
      </c>
    </row>
    <row r="47" spans="1:29" ht="14.45" customHeight="1" x14ac:dyDescent="0.25">
      <c r="A47" s="4" t="s">
        <v>25</v>
      </c>
      <c r="B47" s="4" t="s">
        <v>26</v>
      </c>
      <c r="C47" s="4" t="s">
        <v>27</v>
      </c>
      <c r="D47" s="4" t="s">
        <v>28</v>
      </c>
      <c r="E47" s="4" t="s">
        <v>29</v>
      </c>
      <c r="F47" s="4" t="s">
        <v>30</v>
      </c>
      <c r="G47" s="4" t="s">
        <v>30</v>
      </c>
      <c r="H47" s="4" t="s">
        <v>31</v>
      </c>
      <c r="I47" s="4" t="s">
        <v>42</v>
      </c>
      <c r="J47" s="4" t="str">
        <f>"5998SB0005772"</f>
        <v>5998SB0005772</v>
      </c>
      <c r="K47" s="4" t="s">
        <v>91</v>
      </c>
      <c r="L47" s="4" t="str">
        <f>""</f>
        <v/>
      </c>
      <c r="M47" s="4" t="str">
        <f>""</f>
        <v/>
      </c>
      <c r="N47" s="4" t="s">
        <v>34</v>
      </c>
      <c r="O47" s="3"/>
      <c r="P47" s="3"/>
      <c r="Q47" s="3"/>
      <c r="R47" s="4" t="s">
        <v>35</v>
      </c>
      <c r="S47" s="3"/>
      <c r="T47" s="4" t="str">
        <f>"5998145561182"</f>
        <v>5998145561182</v>
      </c>
      <c r="U47" s="4" t="str">
        <f>"03-110441"</f>
        <v>03-110441</v>
      </c>
      <c r="V47" s="4" t="str">
        <f>"62055403AA00447"</f>
        <v>62055403AA00447</v>
      </c>
      <c r="W47" s="4" t="s">
        <v>36</v>
      </c>
      <c r="X47" s="4" t="str">
        <f t="shared" si="0"/>
        <v>F0057</v>
      </c>
      <c r="Y47" s="4" t="str">
        <f>"62055403AA"</f>
        <v>62055403AA</v>
      </c>
      <c r="Z47" s="4" t="str">
        <f>""</f>
        <v/>
      </c>
      <c r="AA47" s="4" t="str">
        <f>""</f>
        <v/>
      </c>
      <c r="AB47" s="5">
        <v>43465</v>
      </c>
      <c r="AC47" s="4">
        <v>0</v>
      </c>
    </row>
    <row r="48" spans="1:29" ht="14.45" customHeight="1" x14ac:dyDescent="0.25">
      <c r="A48" s="4" t="s">
        <v>25</v>
      </c>
      <c r="B48" s="4" t="s">
        <v>26</v>
      </c>
      <c r="C48" s="4" t="s">
        <v>27</v>
      </c>
      <c r="D48" s="4" t="s">
        <v>28</v>
      </c>
      <c r="E48" s="4" t="s">
        <v>29</v>
      </c>
      <c r="F48" s="4" t="s">
        <v>30</v>
      </c>
      <c r="G48" s="4" t="s">
        <v>30</v>
      </c>
      <c r="H48" s="4" t="s">
        <v>31</v>
      </c>
      <c r="I48" s="4" t="s">
        <v>42</v>
      </c>
      <c r="J48" s="4" t="str">
        <f>"5998SB0005772"</f>
        <v>5998SB0005772</v>
      </c>
      <c r="K48" s="4" t="s">
        <v>91</v>
      </c>
      <c r="L48" s="4" t="str">
        <f>""</f>
        <v/>
      </c>
      <c r="M48" s="4" t="str">
        <f>""</f>
        <v/>
      </c>
      <c r="N48" s="4" t="s">
        <v>34</v>
      </c>
      <c r="O48" s="3"/>
      <c r="P48" s="3"/>
      <c r="Q48" s="3"/>
      <c r="R48" s="4" t="s">
        <v>35</v>
      </c>
      <c r="S48" s="3"/>
      <c r="T48" s="4" t="str">
        <f>"5998145561182"</f>
        <v>5998145561182</v>
      </c>
      <c r="U48" s="4" t="str">
        <f>"03-110442"</f>
        <v>03-110442</v>
      </c>
      <c r="V48" s="4" t="str">
        <f>"62055403AA00448"</f>
        <v>62055403AA00448</v>
      </c>
      <c r="W48" s="4" t="s">
        <v>36</v>
      </c>
      <c r="X48" s="4" t="str">
        <f t="shared" si="0"/>
        <v>F0057</v>
      </c>
      <c r="Y48" s="4" t="str">
        <f>"62055403AA"</f>
        <v>62055403AA</v>
      </c>
      <c r="Z48" s="4" t="str">
        <f>""</f>
        <v/>
      </c>
      <c r="AA48" s="4" t="str">
        <f>""</f>
        <v/>
      </c>
      <c r="AB48" s="5">
        <v>43465</v>
      </c>
      <c r="AC48" s="4">
        <v>0</v>
      </c>
    </row>
    <row r="49" spans="1:29" ht="14.45" customHeight="1" x14ac:dyDescent="0.25">
      <c r="A49" s="4" t="s">
        <v>25</v>
      </c>
      <c r="B49" s="4" t="s">
        <v>26</v>
      </c>
      <c r="C49" s="4" t="s">
        <v>27</v>
      </c>
      <c r="D49" s="4" t="s">
        <v>28</v>
      </c>
      <c r="E49" s="4" t="s">
        <v>29</v>
      </c>
      <c r="F49" s="4" t="s">
        <v>30</v>
      </c>
      <c r="G49" s="4" t="s">
        <v>30</v>
      </c>
      <c r="H49" s="4" t="s">
        <v>31</v>
      </c>
      <c r="I49" s="4" t="s">
        <v>42</v>
      </c>
      <c r="J49" s="4" t="str">
        <f>"5998SB0005772"</f>
        <v>5998SB0005772</v>
      </c>
      <c r="K49" s="4" t="s">
        <v>91</v>
      </c>
      <c r="L49" s="4" t="str">
        <f>""</f>
        <v/>
      </c>
      <c r="M49" s="4" t="str">
        <f>""</f>
        <v/>
      </c>
      <c r="N49" s="4" t="s">
        <v>34</v>
      </c>
      <c r="O49" s="3"/>
      <c r="P49" s="3"/>
      <c r="Q49" s="3"/>
      <c r="R49" s="4" t="s">
        <v>35</v>
      </c>
      <c r="S49" s="3"/>
      <c r="T49" s="4" t="str">
        <f>"5998145561182"</f>
        <v>5998145561182</v>
      </c>
      <c r="U49" s="4" t="str">
        <f>"03-110443"</f>
        <v>03-110443</v>
      </c>
      <c r="V49" s="4" t="str">
        <f>"62055403AA00449"</f>
        <v>62055403AA00449</v>
      </c>
      <c r="W49" s="4" t="s">
        <v>36</v>
      </c>
      <c r="X49" s="4" t="str">
        <f t="shared" si="0"/>
        <v>F0057</v>
      </c>
      <c r="Y49" s="4" t="str">
        <f>"62055403AA"</f>
        <v>62055403AA</v>
      </c>
      <c r="Z49" s="4" t="str">
        <f>""</f>
        <v/>
      </c>
      <c r="AA49" s="4" t="str">
        <f>""</f>
        <v/>
      </c>
      <c r="AB49" s="5">
        <v>43465</v>
      </c>
      <c r="AC49" s="4">
        <v>0</v>
      </c>
    </row>
    <row r="50" spans="1:29" ht="14.45" customHeight="1" x14ac:dyDescent="0.25">
      <c r="A50" s="4" t="s">
        <v>25</v>
      </c>
      <c r="B50" s="4" t="s">
        <v>26</v>
      </c>
      <c r="C50" s="4" t="s">
        <v>27</v>
      </c>
      <c r="D50" s="4" t="s">
        <v>28</v>
      </c>
      <c r="E50" s="4" t="s">
        <v>29</v>
      </c>
      <c r="F50" s="4" t="s">
        <v>30</v>
      </c>
      <c r="G50" s="4" t="s">
        <v>30</v>
      </c>
      <c r="H50" s="4" t="s">
        <v>31</v>
      </c>
      <c r="I50" s="4" t="s">
        <v>42</v>
      </c>
      <c r="J50" s="4" t="str">
        <f>"5998SB0005772"</f>
        <v>5998SB0005772</v>
      </c>
      <c r="K50" s="4" t="s">
        <v>91</v>
      </c>
      <c r="L50" s="4" t="str">
        <f>""</f>
        <v/>
      </c>
      <c r="M50" s="4" t="str">
        <f>""</f>
        <v/>
      </c>
      <c r="N50" s="4" t="s">
        <v>34</v>
      </c>
      <c r="O50" s="3"/>
      <c r="P50" s="3"/>
      <c r="Q50" s="3"/>
      <c r="R50" s="4" t="s">
        <v>35</v>
      </c>
      <c r="S50" s="3"/>
      <c r="T50" s="4" t="str">
        <f>"5998145561182"</f>
        <v>5998145561182</v>
      </c>
      <c r="U50" s="4" t="str">
        <f>"03-110444"</f>
        <v>03-110444</v>
      </c>
      <c r="V50" s="4" t="str">
        <f>"62055403AA00450"</f>
        <v>62055403AA00450</v>
      </c>
      <c r="W50" s="4" t="s">
        <v>36</v>
      </c>
      <c r="X50" s="4" t="str">
        <f t="shared" si="0"/>
        <v>F0057</v>
      </c>
      <c r="Y50" s="4" t="str">
        <f>"62055403AA"</f>
        <v>62055403AA</v>
      </c>
      <c r="Z50" s="4" t="str">
        <f>""</f>
        <v/>
      </c>
      <c r="AA50" s="4" t="str">
        <f>""</f>
        <v/>
      </c>
      <c r="AB50" s="5">
        <v>43465</v>
      </c>
      <c r="AC50" s="4">
        <v>0</v>
      </c>
    </row>
    <row r="51" spans="1:29" ht="14.45" customHeight="1" x14ac:dyDescent="0.25">
      <c r="A51" s="4" t="s">
        <v>25</v>
      </c>
      <c r="B51" s="4" t="s">
        <v>26</v>
      </c>
      <c r="C51" s="4" t="s">
        <v>27</v>
      </c>
      <c r="D51" s="4" t="s">
        <v>28</v>
      </c>
      <c r="E51" s="4" t="s">
        <v>29</v>
      </c>
      <c r="F51" s="4" t="s">
        <v>30</v>
      </c>
      <c r="G51" s="4" t="s">
        <v>30</v>
      </c>
      <c r="H51" s="4" t="s">
        <v>31</v>
      </c>
      <c r="I51" s="4" t="s">
        <v>68</v>
      </c>
      <c r="J51" s="4" t="str">
        <f t="shared" ref="J51:J57" si="1">"5998SB0039087"</f>
        <v>5998SB0039087</v>
      </c>
      <c r="K51" s="4" t="s">
        <v>92</v>
      </c>
      <c r="L51" s="4" t="str">
        <f>""</f>
        <v/>
      </c>
      <c r="M51" s="4" t="str">
        <f>""</f>
        <v/>
      </c>
      <c r="N51" s="4" t="s">
        <v>34</v>
      </c>
      <c r="O51" s="3"/>
      <c r="P51" s="3"/>
      <c r="Q51" s="3"/>
      <c r="R51" s="4" t="s">
        <v>35</v>
      </c>
      <c r="S51" s="3"/>
      <c r="T51" s="4" t="str">
        <f>""</f>
        <v/>
      </c>
      <c r="U51" s="4" t="str">
        <f>"NCIA10360763"</f>
        <v>NCIA10360763</v>
      </c>
      <c r="V51" s="4" t="str">
        <f>"10PR00000422200112"</f>
        <v>10PR00000422200112</v>
      </c>
      <c r="W51" s="4" t="s">
        <v>36</v>
      </c>
      <c r="X51" s="4" t="str">
        <f>""</f>
        <v/>
      </c>
      <c r="Y51" s="4" t="str">
        <f>""</f>
        <v/>
      </c>
      <c r="Z51" s="4" t="str">
        <f>""</f>
        <v/>
      </c>
      <c r="AA51" s="4" t="str">
        <f>""</f>
        <v/>
      </c>
      <c r="AB51" s="5">
        <v>43465</v>
      </c>
      <c r="AC51" s="6">
        <v>3815914634146340</v>
      </c>
    </row>
    <row r="52" spans="1:29" ht="14.45" customHeight="1" x14ac:dyDescent="0.25">
      <c r="A52" s="4" t="s">
        <v>25</v>
      </c>
      <c r="B52" s="4" t="s">
        <v>26</v>
      </c>
      <c r="C52" s="4" t="s">
        <v>27</v>
      </c>
      <c r="D52" s="4" t="s">
        <v>28</v>
      </c>
      <c r="E52" s="4" t="s">
        <v>29</v>
      </c>
      <c r="F52" s="4" t="s">
        <v>30</v>
      </c>
      <c r="G52" s="4" t="s">
        <v>30</v>
      </c>
      <c r="H52" s="4" t="s">
        <v>31</v>
      </c>
      <c r="I52" s="4" t="s">
        <v>68</v>
      </c>
      <c r="J52" s="4" t="str">
        <f t="shared" si="1"/>
        <v>5998SB0039087</v>
      </c>
      <c r="K52" s="4" t="s">
        <v>92</v>
      </c>
      <c r="L52" s="4" t="str">
        <f>""</f>
        <v/>
      </c>
      <c r="M52" s="4" t="str">
        <f>""</f>
        <v/>
      </c>
      <c r="N52" s="4" t="s">
        <v>34</v>
      </c>
      <c r="O52" s="3"/>
      <c r="P52" s="3"/>
      <c r="Q52" s="3"/>
      <c r="R52" s="4" t="s">
        <v>35</v>
      </c>
      <c r="S52" s="3"/>
      <c r="T52" s="4" t="str">
        <f>""</f>
        <v/>
      </c>
      <c r="U52" s="4" t="str">
        <f>"NCIA10360765"</f>
        <v>NCIA10360765</v>
      </c>
      <c r="V52" s="4" t="str">
        <f>"10PR00000822200058"</f>
        <v>10PR00000822200058</v>
      </c>
      <c r="W52" s="4" t="s">
        <v>36</v>
      </c>
      <c r="X52" s="4" t="str">
        <f t="shared" ref="X52:X57" si="2">"0VMZ0"</f>
        <v>0VMZ0</v>
      </c>
      <c r="Y52" s="4" t="str">
        <f t="shared" ref="Y52:Y57" si="3">"FMPE30.48G"</f>
        <v>FMPE30.48G</v>
      </c>
      <c r="Z52" s="4" t="str">
        <f>""</f>
        <v/>
      </c>
      <c r="AA52" s="4" t="str">
        <f>""</f>
        <v/>
      </c>
      <c r="AB52" s="5">
        <v>43465</v>
      </c>
      <c r="AC52" s="6">
        <v>3815914634146340</v>
      </c>
    </row>
    <row r="53" spans="1:29" ht="14.45" customHeight="1" x14ac:dyDescent="0.25">
      <c r="A53" s="4" t="s">
        <v>25</v>
      </c>
      <c r="B53" s="4" t="s">
        <v>26</v>
      </c>
      <c r="C53" s="4" t="s">
        <v>27</v>
      </c>
      <c r="D53" s="4" t="s">
        <v>28</v>
      </c>
      <c r="E53" s="4" t="s">
        <v>29</v>
      </c>
      <c r="F53" s="4" t="s">
        <v>30</v>
      </c>
      <c r="G53" s="4" t="s">
        <v>30</v>
      </c>
      <c r="H53" s="4" t="s">
        <v>31</v>
      </c>
      <c r="I53" s="4" t="s">
        <v>68</v>
      </c>
      <c r="J53" s="4" t="str">
        <f t="shared" si="1"/>
        <v>5998SB0039087</v>
      </c>
      <c r="K53" s="4" t="s">
        <v>92</v>
      </c>
      <c r="L53" s="4" t="str">
        <f>""</f>
        <v/>
      </c>
      <c r="M53" s="4" t="str">
        <f>""</f>
        <v/>
      </c>
      <c r="N53" s="4" t="s">
        <v>34</v>
      </c>
      <c r="O53" s="3"/>
      <c r="P53" s="3"/>
      <c r="Q53" s="3"/>
      <c r="R53" s="4" t="s">
        <v>35</v>
      </c>
      <c r="S53" s="3"/>
      <c r="T53" s="4" t="str">
        <f>""</f>
        <v/>
      </c>
      <c r="U53" s="4" t="str">
        <f>"NCIA10360767"</f>
        <v>NCIA10360767</v>
      </c>
      <c r="V53" s="4" t="str">
        <f>"10PR00000822200035"</f>
        <v>10PR00000822200035</v>
      </c>
      <c r="W53" s="4" t="s">
        <v>36</v>
      </c>
      <c r="X53" s="4" t="str">
        <f t="shared" si="2"/>
        <v>0VMZ0</v>
      </c>
      <c r="Y53" s="4" t="str">
        <f t="shared" si="3"/>
        <v>FMPE30.48G</v>
      </c>
      <c r="Z53" s="4" t="str">
        <f>""</f>
        <v/>
      </c>
      <c r="AA53" s="4" t="str">
        <f>""</f>
        <v/>
      </c>
      <c r="AB53" s="5">
        <v>43465</v>
      </c>
      <c r="AC53" s="6">
        <v>3815914634146340</v>
      </c>
    </row>
    <row r="54" spans="1:29" ht="14.45" customHeight="1" x14ac:dyDescent="0.25">
      <c r="A54" s="4" t="s">
        <v>25</v>
      </c>
      <c r="B54" s="4" t="s">
        <v>26</v>
      </c>
      <c r="C54" s="4" t="s">
        <v>27</v>
      </c>
      <c r="D54" s="4" t="s">
        <v>28</v>
      </c>
      <c r="E54" s="4" t="s">
        <v>29</v>
      </c>
      <c r="F54" s="4" t="s">
        <v>30</v>
      </c>
      <c r="G54" s="4" t="s">
        <v>30</v>
      </c>
      <c r="H54" s="4" t="s">
        <v>31</v>
      </c>
      <c r="I54" s="4" t="s">
        <v>68</v>
      </c>
      <c r="J54" s="4" t="str">
        <f t="shared" si="1"/>
        <v>5998SB0039087</v>
      </c>
      <c r="K54" s="4" t="s">
        <v>92</v>
      </c>
      <c r="L54" s="4" t="str">
        <f>""</f>
        <v/>
      </c>
      <c r="M54" s="4" t="str">
        <f>""</f>
        <v/>
      </c>
      <c r="N54" s="4" t="s">
        <v>34</v>
      </c>
      <c r="O54" s="3"/>
      <c r="P54" s="3"/>
      <c r="Q54" s="3"/>
      <c r="R54" s="4" t="s">
        <v>35</v>
      </c>
      <c r="S54" s="3"/>
      <c r="T54" s="4" t="str">
        <f>""</f>
        <v/>
      </c>
      <c r="U54" s="4" t="str">
        <f>"NCIA10360768"</f>
        <v>NCIA10360768</v>
      </c>
      <c r="V54" s="4" t="str">
        <f>"10PR00000822200036"</f>
        <v>10PR00000822200036</v>
      </c>
      <c r="W54" s="4" t="s">
        <v>36</v>
      </c>
      <c r="X54" s="4" t="str">
        <f t="shared" si="2"/>
        <v>0VMZ0</v>
      </c>
      <c r="Y54" s="4" t="str">
        <f t="shared" si="3"/>
        <v>FMPE30.48G</v>
      </c>
      <c r="Z54" s="4" t="str">
        <f>""</f>
        <v/>
      </c>
      <c r="AA54" s="4" t="str">
        <f>""</f>
        <v/>
      </c>
      <c r="AB54" s="5">
        <v>43465</v>
      </c>
      <c r="AC54" s="6">
        <v>3815914634146340</v>
      </c>
    </row>
    <row r="55" spans="1:29" ht="14.45" customHeight="1" x14ac:dyDescent="0.25">
      <c r="A55" s="4" t="s">
        <v>25</v>
      </c>
      <c r="B55" s="4" t="s">
        <v>26</v>
      </c>
      <c r="C55" s="4" t="s">
        <v>27</v>
      </c>
      <c r="D55" s="4" t="s">
        <v>28</v>
      </c>
      <c r="E55" s="4" t="s">
        <v>29</v>
      </c>
      <c r="F55" s="4" t="s">
        <v>30</v>
      </c>
      <c r="G55" s="4" t="s">
        <v>30</v>
      </c>
      <c r="H55" s="4" t="s">
        <v>31</v>
      </c>
      <c r="I55" s="4" t="s">
        <v>68</v>
      </c>
      <c r="J55" s="4" t="str">
        <f t="shared" si="1"/>
        <v>5998SB0039087</v>
      </c>
      <c r="K55" s="4" t="s">
        <v>92</v>
      </c>
      <c r="L55" s="4" t="str">
        <f>""</f>
        <v/>
      </c>
      <c r="M55" s="4" t="str">
        <f>""</f>
        <v/>
      </c>
      <c r="N55" s="4" t="s">
        <v>34</v>
      </c>
      <c r="O55" s="3"/>
      <c r="P55" s="3"/>
      <c r="Q55" s="3"/>
      <c r="R55" s="4" t="s">
        <v>35</v>
      </c>
      <c r="S55" s="3"/>
      <c r="T55" s="4" t="str">
        <f>""</f>
        <v/>
      </c>
      <c r="U55" s="4" t="str">
        <f>"NCIA10360769"</f>
        <v>NCIA10360769</v>
      </c>
      <c r="V55" s="4" t="str">
        <f>"10PR00000822200022"</f>
        <v>10PR00000822200022</v>
      </c>
      <c r="W55" s="4" t="s">
        <v>36</v>
      </c>
      <c r="X55" s="4" t="str">
        <f t="shared" si="2"/>
        <v>0VMZ0</v>
      </c>
      <c r="Y55" s="4" t="str">
        <f t="shared" si="3"/>
        <v>FMPE30.48G</v>
      </c>
      <c r="Z55" s="4" t="str">
        <f>""</f>
        <v/>
      </c>
      <c r="AA55" s="4" t="str">
        <f>""</f>
        <v/>
      </c>
      <c r="AB55" s="5">
        <v>43465</v>
      </c>
      <c r="AC55" s="6">
        <v>3815914634146340</v>
      </c>
    </row>
    <row r="56" spans="1:29" ht="14.45" customHeight="1" x14ac:dyDescent="0.25">
      <c r="A56" s="4" t="s">
        <v>25</v>
      </c>
      <c r="B56" s="4" t="s">
        <v>26</v>
      </c>
      <c r="C56" s="4" t="s">
        <v>27</v>
      </c>
      <c r="D56" s="4" t="s">
        <v>28</v>
      </c>
      <c r="E56" s="4" t="s">
        <v>29</v>
      </c>
      <c r="F56" s="4" t="s">
        <v>30</v>
      </c>
      <c r="G56" s="4" t="s">
        <v>30</v>
      </c>
      <c r="H56" s="4" t="s">
        <v>31</v>
      </c>
      <c r="I56" s="4" t="s">
        <v>68</v>
      </c>
      <c r="J56" s="4" t="str">
        <f t="shared" si="1"/>
        <v>5998SB0039087</v>
      </c>
      <c r="K56" s="4" t="s">
        <v>92</v>
      </c>
      <c r="L56" s="4" t="str">
        <f>""</f>
        <v/>
      </c>
      <c r="M56" s="4" t="str">
        <f>""</f>
        <v/>
      </c>
      <c r="N56" s="4" t="s">
        <v>34</v>
      </c>
      <c r="O56" s="3"/>
      <c r="P56" s="3"/>
      <c r="Q56" s="3"/>
      <c r="R56" s="4" t="s">
        <v>35</v>
      </c>
      <c r="S56" s="3"/>
      <c r="T56" s="4" t="str">
        <f>""</f>
        <v/>
      </c>
      <c r="U56" s="4" t="str">
        <f>"NCIA10371956"</f>
        <v>NCIA10371956</v>
      </c>
      <c r="V56" s="4" t="str">
        <f>"10100011652200018"</f>
        <v>10100011652200018</v>
      </c>
      <c r="W56" s="4" t="s">
        <v>36</v>
      </c>
      <c r="X56" s="4" t="str">
        <f t="shared" si="2"/>
        <v>0VMZ0</v>
      </c>
      <c r="Y56" s="4" t="str">
        <f t="shared" si="3"/>
        <v>FMPE30.48G</v>
      </c>
      <c r="Z56" s="4" t="str">
        <f>""</f>
        <v/>
      </c>
      <c r="AA56" s="4" t="str">
        <f>""</f>
        <v/>
      </c>
      <c r="AB56" s="5">
        <v>43465</v>
      </c>
      <c r="AC56" s="6">
        <v>3815914634146340</v>
      </c>
    </row>
    <row r="57" spans="1:29" ht="14.45" customHeight="1" x14ac:dyDescent="0.25">
      <c r="A57" s="4" t="s">
        <v>25</v>
      </c>
      <c r="B57" s="4" t="s">
        <v>26</v>
      </c>
      <c r="C57" s="4" t="s">
        <v>27</v>
      </c>
      <c r="D57" s="4" t="s">
        <v>28</v>
      </c>
      <c r="E57" s="4" t="s">
        <v>29</v>
      </c>
      <c r="F57" s="4" t="s">
        <v>30</v>
      </c>
      <c r="G57" s="4" t="s">
        <v>30</v>
      </c>
      <c r="H57" s="4" t="s">
        <v>31</v>
      </c>
      <c r="I57" s="4" t="s">
        <v>68</v>
      </c>
      <c r="J57" s="4" t="str">
        <f t="shared" si="1"/>
        <v>5998SB0039087</v>
      </c>
      <c r="K57" s="4" t="s">
        <v>92</v>
      </c>
      <c r="L57" s="4" t="str">
        <f>""</f>
        <v/>
      </c>
      <c r="M57" s="4" t="str">
        <f>""</f>
        <v/>
      </c>
      <c r="N57" s="4" t="s">
        <v>34</v>
      </c>
      <c r="O57" s="3"/>
      <c r="P57" s="3"/>
      <c r="Q57" s="3"/>
      <c r="R57" s="4" t="s">
        <v>35</v>
      </c>
      <c r="S57" s="3"/>
      <c r="T57" s="4" t="str">
        <f>""</f>
        <v/>
      </c>
      <c r="U57" s="4" t="str">
        <f>"NCIA12045489"</f>
        <v>NCIA12045489</v>
      </c>
      <c r="V57" s="4" t="str">
        <f>""</f>
        <v/>
      </c>
      <c r="W57" s="4" t="s">
        <v>36</v>
      </c>
      <c r="X57" s="4" t="str">
        <f t="shared" si="2"/>
        <v>0VMZ0</v>
      </c>
      <c r="Y57" s="4" t="str">
        <f t="shared" si="3"/>
        <v>FMPE30.48G</v>
      </c>
      <c r="Z57" s="4" t="str">
        <f>""</f>
        <v/>
      </c>
      <c r="AA57" s="4" t="str">
        <f>""</f>
        <v/>
      </c>
      <c r="AB57" s="5">
        <v>44082</v>
      </c>
      <c r="AC57" s="6">
        <v>103861352697796</v>
      </c>
    </row>
    <row r="58" spans="1:29" ht="14.45" customHeight="1" x14ac:dyDescent="0.25">
      <c r="A58" s="4" t="s">
        <v>25</v>
      </c>
      <c r="B58" s="4" t="s">
        <v>26</v>
      </c>
      <c r="C58" s="4" t="s">
        <v>27</v>
      </c>
      <c r="D58" s="4" t="s">
        <v>28</v>
      </c>
      <c r="E58" s="4" t="s">
        <v>29</v>
      </c>
      <c r="F58" s="4" t="s">
        <v>30</v>
      </c>
      <c r="G58" s="4" t="s">
        <v>30</v>
      </c>
      <c r="H58" s="4" t="s">
        <v>31</v>
      </c>
      <c r="I58" s="4" t="s">
        <v>37</v>
      </c>
      <c r="J58" s="4" t="str">
        <f>"5998SB0044656"</f>
        <v>5998SB0044656</v>
      </c>
      <c r="K58" s="4" t="s">
        <v>93</v>
      </c>
      <c r="L58" s="4" t="str">
        <f>""</f>
        <v/>
      </c>
      <c r="M58" s="4" t="str">
        <f>""</f>
        <v/>
      </c>
      <c r="N58" s="4" t="s">
        <v>34</v>
      </c>
      <c r="O58" s="3"/>
      <c r="P58" s="3"/>
      <c r="Q58" s="3"/>
      <c r="R58" s="4" t="s">
        <v>35</v>
      </c>
      <c r="S58" s="3"/>
      <c r="T58" s="4" t="str">
        <f>""</f>
        <v/>
      </c>
      <c r="U58" s="4" t="str">
        <f>"NCIA12015374"</f>
        <v>NCIA12015374</v>
      </c>
      <c r="V58" s="4" t="str">
        <f>"00081004D"</f>
        <v>00081004D</v>
      </c>
      <c r="W58" s="4" t="s">
        <v>36</v>
      </c>
      <c r="X58" s="4" t="str">
        <f>"02MQ7"</f>
        <v>02MQ7</v>
      </c>
      <c r="Y58" s="4" t="str">
        <f>"YCU.00069"</f>
        <v>YCU.00069</v>
      </c>
      <c r="Z58" s="4" t="str">
        <f>""</f>
        <v/>
      </c>
      <c r="AA58" s="4" t="str">
        <f>""</f>
        <v/>
      </c>
      <c r="AB58" s="5">
        <v>43748</v>
      </c>
      <c r="AC58" s="6">
        <v>346957878315132</v>
      </c>
    </row>
    <row r="59" spans="1:29" ht="14.45" customHeight="1" x14ac:dyDescent="0.25">
      <c r="A59" s="4" t="s">
        <v>25</v>
      </c>
      <c r="B59" s="4" t="s">
        <v>26</v>
      </c>
      <c r="C59" s="4" t="s">
        <v>27</v>
      </c>
      <c r="D59" s="4" t="s">
        <v>28</v>
      </c>
      <c r="E59" s="4" t="s">
        <v>29</v>
      </c>
      <c r="F59" s="4" t="s">
        <v>30</v>
      </c>
      <c r="G59" s="4" t="s">
        <v>30</v>
      </c>
      <c r="H59" s="4" t="s">
        <v>31</v>
      </c>
      <c r="I59" s="4" t="s">
        <v>56</v>
      </c>
      <c r="J59" s="4" t="str">
        <f>"5999SB0002982"</f>
        <v>5999SB0002982</v>
      </c>
      <c r="K59" s="4" t="s">
        <v>94</v>
      </c>
      <c r="L59" s="4" t="str">
        <f>""</f>
        <v/>
      </c>
      <c r="M59" s="4" t="str">
        <f>""</f>
        <v/>
      </c>
      <c r="N59" s="4" t="s">
        <v>34</v>
      </c>
      <c r="O59" s="3"/>
      <c r="P59" s="3"/>
      <c r="Q59" s="3"/>
      <c r="R59" s="4" t="s">
        <v>35</v>
      </c>
      <c r="S59" s="3"/>
      <c r="T59" s="4" t="str">
        <f>"12719-500"</f>
        <v>12719-500</v>
      </c>
      <c r="U59" s="4" t="str">
        <f>"01-113992"</f>
        <v>01-113992</v>
      </c>
      <c r="V59" s="4" t="str">
        <f>"12719-001"</f>
        <v>12719-001</v>
      </c>
      <c r="W59" s="4" t="s">
        <v>36</v>
      </c>
      <c r="X59" s="4" t="str">
        <f>"0BFK7"</f>
        <v>0BFK7</v>
      </c>
      <c r="Y59" s="4" t="str">
        <f>"12719-500"</f>
        <v>12719-500</v>
      </c>
      <c r="Z59" s="4" t="str">
        <f>""</f>
        <v/>
      </c>
      <c r="AA59" s="4" t="str">
        <f>""</f>
        <v/>
      </c>
      <c r="AB59" s="5">
        <v>43465</v>
      </c>
      <c r="AC59" s="4">
        <v>0</v>
      </c>
    </row>
    <row r="60" spans="1:29" ht="14.45" customHeight="1" x14ac:dyDescent="0.25">
      <c r="A60" s="4" t="s">
        <v>25</v>
      </c>
      <c r="B60" s="4" t="s">
        <v>26</v>
      </c>
      <c r="C60" s="4" t="s">
        <v>27</v>
      </c>
      <c r="D60" s="4" t="s">
        <v>28</v>
      </c>
      <c r="E60" s="4" t="s">
        <v>29</v>
      </c>
      <c r="F60" s="4" t="s">
        <v>30</v>
      </c>
      <c r="G60" s="4" t="s">
        <v>30</v>
      </c>
      <c r="H60" s="4" t="s">
        <v>31</v>
      </c>
      <c r="I60" s="4" t="s">
        <v>95</v>
      </c>
      <c r="J60" s="4" t="str">
        <f>"5999SB0003917"</f>
        <v>5999SB0003917</v>
      </c>
      <c r="K60" s="4" t="s">
        <v>96</v>
      </c>
      <c r="L60" s="4" t="str">
        <f>""</f>
        <v/>
      </c>
      <c r="M60" s="4" t="str">
        <f>""</f>
        <v/>
      </c>
      <c r="N60" s="4" t="s">
        <v>34</v>
      </c>
      <c r="O60" s="3"/>
      <c r="P60" s="3"/>
      <c r="Q60" s="3"/>
      <c r="R60" s="4" t="s">
        <v>35</v>
      </c>
      <c r="S60" s="3"/>
      <c r="T60" s="4" t="str">
        <f>"SMHN-1671"</f>
        <v>SMHN-1671</v>
      </c>
      <c r="U60" s="4" t="str">
        <f>"NCIA10288334"</f>
        <v>NCIA10288334</v>
      </c>
      <c r="V60" s="4" t="str">
        <f>"108"</f>
        <v>108</v>
      </c>
      <c r="W60" s="4" t="s">
        <v>36</v>
      </c>
      <c r="X60" s="4" t="str">
        <f>"53263"</f>
        <v>53263</v>
      </c>
      <c r="Y60" s="4" t="str">
        <f>"SMHN-1671"</f>
        <v>SMHN-1671</v>
      </c>
      <c r="Z60" s="4" t="str">
        <f>""</f>
        <v/>
      </c>
      <c r="AA60" s="4" t="str">
        <f>""</f>
        <v/>
      </c>
      <c r="AB60" s="5">
        <v>43465</v>
      </c>
      <c r="AC60" s="4">
        <v>2752</v>
      </c>
    </row>
    <row r="61" spans="1:29" ht="14.45" customHeight="1" x14ac:dyDescent="0.25">
      <c r="A61" s="4" t="s">
        <v>25</v>
      </c>
      <c r="B61" s="4" t="s">
        <v>26</v>
      </c>
      <c r="C61" s="4" t="s">
        <v>27</v>
      </c>
      <c r="D61" s="4" t="s">
        <v>28</v>
      </c>
      <c r="E61" s="4" t="s">
        <v>29</v>
      </c>
      <c r="F61" s="4" t="s">
        <v>30</v>
      </c>
      <c r="G61" s="4" t="s">
        <v>30</v>
      </c>
      <c r="H61" s="4" t="s">
        <v>31</v>
      </c>
      <c r="I61" s="4" t="s">
        <v>66</v>
      </c>
      <c r="J61" s="4" t="str">
        <f>"5999SB0017840"</f>
        <v>5999SB0017840</v>
      </c>
      <c r="K61" s="4" t="s">
        <v>97</v>
      </c>
      <c r="L61" s="4" t="str">
        <f>""</f>
        <v/>
      </c>
      <c r="M61" s="4" t="str">
        <f>""</f>
        <v/>
      </c>
      <c r="N61" s="4" t="s">
        <v>34</v>
      </c>
      <c r="O61" s="3"/>
      <c r="P61" s="3"/>
      <c r="Q61" s="3"/>
      <c r="R61" s="4" t="s">
        <v>35</v>
      </c>
      <c r="S61" s="3"/>
      <c r="T61" s="4" t="str">
        <f>"10538-05027"</f>
        <v>10538-05027</v>
      </c>
      <c r="U61" s="4" t="str">
        <f>"01-113990"</f>
        <v>01-113990</v>
      </c>
      <c r="V61" s="4" t="str">
        <f>"1000404"</f>
        <v>1000404</v>
      </c>
      <c r="W61" s="4" t="s">
        <v>36</v>
      </c>
      <c r="X61" s="4" t="str">
        <f>"02MQ7"</f>
        <v>02MQ7</v>
      </c>
      <c r="Y61" s="4" t="str">
        <f>"10538-05027"</f>
        <v>10538-05027</v>
      </c>
      <c r="Z61" s="4" t="str">
        <f>""</f>
        <v/>
      </c>
      <c r="AA61" s="4" t="str">
        <f>""</f>
        <v/>
      </c>
      <c r="AB61" s="5">
        <v>43465</v>
      </c>
      <c r="AC61" s="4">
        <v>0</v>
      </c>
    </row>
    <row r="62" spans="1:29" ht="14.45" customHeight="1" x14ac:dyDescent="0.25">
      <c r="A62" s="4" t="s">
        <v>25</v>
      </c>
      <c r="B62" s="4" t="s">
        <v>26</v>
      </c>
      <c r="C62" s="4" t="s">
        <v>27</v>
      </c>
      <c r="D62" s="4" t="s">
        <v>28</v>
      </c>
      <c r="E62" s="4" t="s">
        <v>29</v>
      </c>
      <c r="F62" s="4" t="s">
        <v>30</v>
      </c>
      <c r="G62" s="4" t="s">
        <v>30</v>
      </c>
      <c r="H62" s="4" t="s">
        <v>31</v>
      </c>
      <c r="I62" s="4" t="s">
        <v>98</v>
      </c>
      <c r="J62" s="4" t="str">
        <f>"6060SB0005506"</f>
        <v>6060SB0005506</v>
      </c>
      <c r="K62" s="4" t="s">
        <v>99</v>
      </c>
      <c r="L62" s="4" t="str">
        <f>""</f>
        <v/>
      </c>
      <c r="M62" s="4" t="str">
        <f>""</f>
        <v/>
      </c>
      <c r="N62" s="4" t="s">
        <v>34</v>
      </c>
      <c r="O62" s="3"/>
      <c r="P62" s="3"/>
      <c r="Q62" s="3"/>
      <c r="R62" s="4" t="s">
        <v>35</v>
      </c>
      <c r="S62" s="3"/>
      <c r="T62" s="4" t="str">
        <f>"732-00357-00"</f>
        <v>732-00357-00</v>
      </c>
      <c r="U62" s="4" t="str">
        <f>"03-114184"</f>
        <v>03-114184</v>
      </c>
      <c r="V62" s="4" t="str">
        <f>"12102-W026"</f>
        <v>12102-W026</v>
      </c>
      <c r="W62" s="4" t="s">
        <v>36</v>
      </c>
      <c r="X62" s="4" t="str">
        <f>"02MQ7"</f>
        <v>02MQ7</v>
      </c>
      <c r="Y62" s="4" t="str">
        <f>"732-00357-00"</f>
        <v>732-00357-00</v>
      </c>
      <c r="Z62" s="4" t="str">
        <f>""</f>
        <v/>
      </c>
      <c r="AA62" s="4" t="str">
        <f>""</f>
        <v/>
      </c>
      <c r="AB62" s="5">
        <v>43465</v>
      </c>
      <c r="AC62" s="6">
        <v>7692696255333330</v>
      </c>
    </row>
    <row r="63" spans="1:29" ht="14.45" customHeight="1" x14ac:dyDescent="0.25">
      <c r="A63" s="4" t="s">
        <v>25</v>
      </c>
      <c r="B63" s="4" t="s">
        <v>26</v>
      </c>
      <c r="C63" s="4" t="s">
        <v>27</v>
      </c>
      <c r="D63" s="4" t="s">
        <v>28</v>
      </c>
      <c r="E63" s="4" t="s">
        <v>29</v>
      </c>
      <c r="F63" s="4" t="s">
        <v>30</v>
      </c>
      <c r="G63" s="4" t="s">
        <v>30</v>
      </c>
      <c r="H63" s="4" t="s">
        <v>31</v>
      </c>
      <c r="I63" s="4" t="s">
        <v>98</v>
      </c>
      <c r="J63" s="4" t="str">
        <f>"6060SB0005506"</f>
        <v>6060SB0005506</v>
      </c>
      <c r="K63" s="4" t="s">
        <v>99</v>
      </c>
      <c r="L63" s="4" t="str">
        <f>""</f>
        <v/>
      </c>
      <c r="M63" s="4" t="str">
        <f>""</f>
        <v/>
      </c>
      <c r="N63" s="4" t="s">
        <v>34</v>
      </c>
      <c r="O63" s="3"/>
      <c r="P63" s="3"/>
      <c r="Q63" s="3"/>
      <c r="R63" s="4" t="s">
        <v>35</v>
      </c>
      <c r="S63" s="3"/>
      <c r="T63" s="4" t="str">
        <f>"732-00357-00"</f>
        <v>732-00357-00</v>
      </c>
      <c r="U63" s="4" t="str">
        <f>"03-114185"</f>
        <v>03-114185</v>
      </c>
      <c r="V63" s="4" t="str">
        <f>"12102-W025"</f>
        <v>12102-W025</v>
      </c>
      <c r="W63" s="4" t="s">
        <v>36</v>
      </c>
      <c r="X63" s="4" t="str">
        <f>"02MQ7"</f>
        <v>02MQ7</v>
      </c>
      <c r="Y63" s="4" t="str">
        <f>"732-00357-00"</f>
        <v>732-00357-00</v>
      </c>
      <c r="Z63" s="4" t="str">
        <f>""</f>
        <v/>
      </c>
      <c r="AA63" s="4" t="str">
        <f>""</f>
        <v/>
      </c>
      <c r="AB63" s="5">
        <v>43465</v>
      </c>
      <c r="AC63" s="6">
        <v>7692696255333330</v>
      </c>
    </row>
    <row r="64" spans="1:29" ht="14.45" customHeight="1" x14ac:dyDescent="0.25">
      <c r="A64" s="4" t="s">
        <v>25</v>
      </c>
      <c r="B64" s="4" t="s">
        <v>26</v>
      </c>
      <c r="C64" s="4" t="s">
        <v>27</v>
      </c>
      <c r="D64" s="4" t="s">
        <v>28</v>
      </c>
      <c r="E64" s="4" t="s">
        <v>29</v>
      </c>
      <c r="F64" s="4" t="s">
        <v>30</v>
      </c>
      <c r="G64" s="4" t="s">
        <v>30</v>
      </c>
      <c r="H64" s="4" t="s">
        <v>31</v>
      </c>
      <c r="I64" s="4" t="s">
        <v>68</v>
      </c>
      <c r="J64" s="4" t="str">
        <f>"6130SB0039088"</f>
        <v>6130SB0039088</v>
      </c>
      <c r="K64" s="4" t="s">
        <v>100</v>
      </c>
      <c r="L64" s="4" t="str">
        <f>""</f>
        <v/>
      </c>
      <c r="M64" s="4" t="str">
        <f>""</f>
        <v/>
      </c>
      <c r="N64" s="4" t="s">
        <v>34</v>
      </c>
      <c r="O64" s="3"/>
      <c r="P64" s="3"/>
      <c r="Q64" s="3"/>
      <c r="R64" s="4" t="s">
        <v>35</v>
      </c>
      <c r="S64" s="3"/>
      <c r="T64" s="4" t="str">
        <f>""</f>
        <v/>
      </c>
      <c r="U64" s="4" t="str">
        <f>"NCIA10360761"</f>
        <v>NCIA10360761</v>
      </c>
      <c r="V64" s="4" t="str">
        <f>"5735650"</f>
        <v>5735650</v>
      </c>
      <c r="W64" s="4" t="s">
        <v>36</v>
      </c>
      <c r="X64" s="4" t="str">
        <f>"02MQ7"</f>
        <v>02MQ7</v>
      </c>
      <c r="Y64" s="4" t="str">
        <f>"11008-08006-001"</f>
        <v>11008-08006-001</v>
      </c>
      <c r="Z64" s="4" t="str">
        <f>""</f>
        <v/>
      </c>
      <c r="AA64" s="4" t="str">
        <f>""</f>
        <v/>
      </c>
      <c r="AB64" s="5">
        <v>43465</v>
      </c>
      <c r="AC64" s="4">
        <v>0</v>
      </c>
    </row>
    <row r="65" spans="1:29" ht="14.45" customHeight="1" x14ac:dyDescent="0.25">
      <c r="A65" s="4" t="s">
        <v>25</v>
      </c>
      <c r="B65" s="4" t="s">
        <v>26</v>
      </c>
      <c r="C65" s="4" t="s">
        <v>27</v>
      </c>
      <c r="D65" s="4" t="s">
        <v>28</v>
      </c>
      <c r="E65" s="4" t="s">
        <v>29</v>
      </c>
      <c r="F65" s="4" t="s">
        <v>30</v>
      </c>
      <c r="G65" s="4" t="s">
        <v>30</v>
      </c>
      <c r="H65" s="4" t="s">
        <v>31</v>
      </c>
      <c r="I65" s="4" t="s">
        <v>68</v>
      </c>
      <c r="J65" s="4" t="str">
        <f>"6130SB0039088"</f>
        <v>6130SB0039088</v>
      </c>
      <c r="K65" s="4" t="s">
        <v>100</v>
      </c>
      <c r="L65" s="4" t="str">
        <f>""</f>
        <v/>
      </c>
      <c r="M65" s="4" t="str">
        <f>""</f>
        <v/>
      </c>
      <c r="N65" s="4" t="s">
        <v>34</v>
      </c>
      <c r="O65" s="3"/>
      <c r="P65" s="3"/>
      <c r="Q65" s="3"/>
      <c r="R65" s="4" t="s">
        <v>35</v>
      </c>
      <c r="S65" s="3"/>
      <c r="T65" s="4" t="str">
        <f>""</f>
        <v/>
      </c>
      <c r="U65" s="4" t="str">
        <f>"NCIA10360762"</f>
        <v>NCIA10360762</v>
      </c>
      <c r="V65" s="4" t="str">
        <f>"5735638"</f>
        <v>5735638</v>
      </c>
      <c r="W65" s="4" t="s">
        <v>36</v>
      </c>
      <c r="X65" s="4" t="str">
        <f>"02MQ7"</f>
        <v>02MQ7</v>
      </c>
      <c r="Y65" s="4" t="str">
        <f>"11008-08006-002"</f>
        <v>11008-08006-002</v>
      </c>
      <c r="Z65" s="4" t="str">
        <f>""</f>
        <v/>
      </c>
      <c r="AA65" s="4" t="str">
        <f>""</f>
        <v/>
      </c>
      <c r="AB65" s="5">
        <v>43465</v>
      </c>
      <c r="AC65" s="4">
        <v>0</v>
      </c>
    </row>
    <row r="66" spans="1:29" ht="14.45" customHeight="1" x14ac:dyDescent="0.25">
      <c r="A66" s="4" t="s">
        <v>25</v>
      </c>
      <c r="B66" s="4" t="s">
        <v>26</v>
      </c>
      <c r="C66" s="4" t="s">
        <v>27</v>
      </c>
      <c r="D66" s="4" t="s">
        <v>28</v>
      </c>
      <c r="E66" s="4" t="s">
        <v>29</v>
      </c>
      <c r="F66" s="4" t="s">
        <v>30</v>
      </c>
      <c r="G66" s="4" t="s">
        <v>30</v>
      </c>
      <c r="H66" s="4" t="s">
        <v>31</v>
      </c>
      <c r="I66" s="4" t="s">
        <v>68</v>
      </c>
      <c r="J66" s="4" t="str">
        <f>"6130SB0039089"</f>
        <v>6130SB0039089</v>
      </c>
      <c r="K66" s="4" t="s">
        <v>101</v>
      </c>
      <c r="L66" s="4" t="str">
        <f>""</f>
        <v/>
      </c>
      <c r="M66" s="4" t="str">
        <f>""</f>
        <v/>
      </c>
      <c r="N66" s="4" t="s">
        <v>34</v>
      </c>
      <c r="O66" s="3"/>
      <c r="P66" s="3"/>
      <c r="Q66" s="3"/>
      <c r="R66" s="4" t="s">
        <v>35</v>
      </c>
      <c r="S66" s="3"/>
      <c r="T66" s="4" t="str">
        <f>""</f>
        <v/>
      </c>
      <c r="U66" s="4" t="str">
        <f>"NCIA10360758"</f>
        <v>NCIA10360758</v>
      </c>
      <c r="V66" s="4" t="str">
        <f>"000789"</f>
        <v>000789</v>
      </c>
      <c r="W66" s="4" t="s">
        <v>36</v>
      </c>
      <c r="X66" s="4" t="str">
        <f>"0VMZ0"</f>
        <v>0VMZ0</v>
      </c>
      <c r="Y66" s="4" t="str">
        <f>"3F51991F100G"</f>
        <v>3F51991F100G</v>
      </c>
      <c r="Z66" s="4" t="str">
        <f>""</f>
        <v/>
      </c>
      <c r="AA66" s="4" t="str">
        <f>""</f>
        <v/>
      </c>
      <c r="AB66" s="5">
        <v>43465</v>
      </c>
      <c r="AC66" s="4">
        <v>0</v>
      </c>
    </row>
    <row r="67" spans="1:29" ht="14.45" customHeight="1" x14ac:dyDescent="0.25">
      <c r="A67" s="4" t="s">
        <v>25</v>
      </c>
      <c r="B67" s="4" t="s">
        <v>26</v>
      </c>
      <c r="C67" s="4" t="s">
        <v>27</v>
      </c>
      <c r="D67" s="4" t="s">
        <v>28</v>
      </c>
      <c r="E67" s="4" t="s">
        <v>29</v>
      </c>
      <c r="F67" s="4" t="s">
        <v>30</v>
      </c>
      <c r="G67" s="4" t="s">
        <v>30</v>
      </c>
      <c r="H67" s="4" t="s">
        <v>31</v>
      </c>
      <c r="I67" s="4" t="s">
        <v>68</v>
      </c>
      <c r="J67" s="4" t="str">
        <f>"6130SB0039089"</f>
        <v>6130SB0039089</v>
      </c>
      <c r="K67" s="4" t="s">
        <v>101</v>
      </c>
      <c r="L67" s="4" t="str">
        <f>""</f>
        <v/>
      </c>
      <c r="M67" s="4" t="str">
        <f>""</f>
        <v/>
      </c>
      <c r="N67" s="4" t="s">
        <v>34</v>
      </c>
      <c r="O67" s="3"/>
      <c r="P67" s="3"/>
      <c r="Q67" s="3"/>
      <c r="R67" s="4" t="s">
        <v>35</v>
      </c>
      <c r="S67" s="3"/>
      <c r="T67" s="4" t="str">
        <f>""</f>
        <v/>
      </c>
      <c r="U67" s="4" t="str">
        <f>"NCIA10360760"</f>
        <v>NCIA10360760</v>
      </c>
      <c r="V67" s="4" t="str">
        <f>"000790"</f>
        <v>000790</v>
      </c>
      <c r="W67" s="4" t="s">
        <v>36</v>
      </c>
      <c r="X67" s="4" t="str">
        <f>"0VMZ0"</f>
        <v>0VMZ0</v>
      </c>
      <c r="Y67" s="4" t="str">
        <f>"3F51991F100G"</f>
        <v>3F51991F100G</v>
      </c>
      <c r="Z67" s="4" t="str">
        <f>""</f>
        <v/>
      </c>
      <c r="AA67" s="4" t="str">
        <f>""</f>
        <v/>
      </c>
      <c r="AB67" s="5">
        <v>43465</v>
      </c>
      <c r="AC67" s="4">
        <v>0</v>
      </c>
    </row>
    <row r="68" spans="1:29" ht="14.45" customHeight="1" x14ac:dyDescent="0.25">
      <c r="A68" s="4" t="s">
        <v>25</v>
      </c>
      <c r="B68" s="4" t="s">
        <v>26</v>
      </c>
      <c r="C68" s="4" t="s">
        <v>27</v>
      </c>
      <c r="D68" s="4" t="s">
        <v>28</v>
      </c>
      <c r="E68" s="4" t="s">
        <v>29</v>
      </c>
      <c r="F68" s="4" t="s">
        <v>30</v>
      </c>
      <c r="G68" s="4" t="s">
        <v>30</v>
      </c>
      <c r="H68" s="4" t="s">
        <v>31</v>
      </c>
      <c r="I68" s="4" t="s">
        <v>68</v>
      </c>
      <c r="J68" s="4" t="str">
        <f>"6130SB0039089"</f>
        <v>6130SB0039089</v>
      </c>
      <c r="K68" s="4" t="s">
        <v>101</v>
      </c>
      <c r="L68" s="4" t="str">
        <f>""</f>
        <v/>
      </c>
      <c r="M68" s="4" t="str">
        <f>""</f>
        <v/>
      </c>
      <c r="N68" s="4" t="s">
        <v>34</v>
      </c>
      <c r="O68" s="3"/>
      <c r="P68" s="3"/>
      <c r="Q68" s="3"/>
      <c r="R68" s="4" t="s">
        <v>35</v>
      </c>
      <c r="S68" s="3"/>
      <c r="T68" s="4" t="str">
        <f>""</f>
        <v/>
      </c>
      <c r="U68" s="4" t="str">
        <f>"NCIA10379619"</f>
        <v>NCIA10379619</v>
      </c>
      <c r="V68" s="4" t="str">
        <f>"000768"</f>
        <v>000768</v>
      </c>
      <c r="W68" s="4" t="s">
        <v>36</v>
      </c>
      <c r="X68" s="4" t="str">
        <f>"0VMZ0"</f>
        <v>0VMZ0</v>
      </c>
      <c r="Y68" s="4" t="str">
        <f>"3F51991F100G"</f>
        <v>3F51991F100G</v>
      </c>
      <c r="Z68" s="4" t="str">
        <f>""</f>
        <v/>
      </c>
      <c r="AA68" s="4" t="str">
        <f>""</f>
        <v/>
      </c>
      <c r="AB68" s="5">
        <v>43465</v>
      </c>
      <c r="AC68" s="4">
        <v>0</v>
      </c>
    </row>
    <row r="69" spans="1:29" ht="14.45" customHeight="1" x14ac:dyDescent="0.25">
      <c r="A69" s="4" t="s">
        <v>25</v>
      </c>
      <c r="B69" s="4" t="s">
        <v>26</v>
      </c>
      <c r="C69" s="4" t="s">
        <v>27</v>
      </c>
      <c r="D69" s="4" t="s">
        <v>28</v>
      </c>
      <c r="E69" s="4" t="s">
        <v>29</v>
      </c>
      <c r="F69" s="4" t="s">
        <v>30</v>
      </c>
      <c r="G69" s="4" t="s">
        <v>30</v>
      </c>
      <c r="H69" s="4" t="s">
        <v>31</v>
      </c>
      <c r="I69" s="4" t="s">
        <v>68</v>
      </c>
      <c r="J69" s="4" t="str">
        <f>"6130SB0039090"</f>
        <v>6130SB0039090</v>
      </c>
      <c r="K69" s="4" t="s">
        <v>102</v>
      </c>
      <c r="L69" s="4" t="str">
        <f>""</f>
        <v/>
      </c>
      <c r="M69" s="4" t="str">
        <f>""</f>
        <v/>
      </c>
      <c r="N69" s="4" t="s">
        <v>34</v>
      </c>
      <c r="O69" s="3"/>
      <c r="P69" s="3"/>
      <c r="Q69" s="3"/>
      <c r="R69" s="4" t="s">
        <v>35</v>
      </c>
      <c r="S69" s="3"/>
      <c r="T69" s="4" t="str">
        <f>""</f>
        <v/>
      </c>
      <c r="U69" s="4" t="str">
        <f>"NCIA10360757"</f>
        <v>NCIA10360757</v>
      </c>
      <c r="V69" s="4" t="str">
        <f>"000695"</f>
        <v>000695</v>
      </c>
      <c r="W69" s="4" t="s">
        <v>36</v>
      </c>
      <c r="X69" s="4" t="str">
        <f>"0VMZ0"</f>
        <v>0VMZ0</v>
      </c>
      <c r="Y69" s="4" t="str">
        <f>"3F51991F200G"</f>
        <v>3F51991F200G</v>
      </c>
      <c r="Z69" s="4" t="str">
        <f>""</f>
        <v/>
      </c>
      <c r="AA69" s="4" t="str">
        <f>""</f>
        <v/>
      </c>
      <c r="AB69" s="5">
        <v>43465</v>
      </c>
      <c r="AC69" s="4">
        <v>0</v>
      </c>
    </row>
    <row r="70" spans="1:29" ht="14.45" customHeight="1" x14ac:dyDescent="0.25">
      <c r="A70" s="4" t="s">
        <v>25</v>
      </c>
      <c r="B70" s="4" t="s">
        <v>26</v>
      </c>
      <c r="C70" s="4" t="s">
        <v>27</v>
      </c>
      <c r="D70" s="4" t="s">
        <v>28</v>
      </c>
      <c r="E70" s="4" t="s">
        <v>29</v>
      </c>
      <c r="F70" s="4" t="s">
        <v>30</v>
      </c>
      <c r="G70" s="4" t="s">
        <v>30</v>
      </c>
      <c r="H70" s="4" t="s">
        <v>31</v>
      </c>
      <c r="I70" s="4" t="s">
        <v>68</v>
      </c>
      <c r="J70" s="4" t="str">
        <f>"6130SB0039091"</f>
        <v>6130SB0039091</v>
      </c>
      <c r="K70" s="4" t="s">
        <v>103</v>
      </c>
      <c r="L70" s="4" t="str">
        <f>""</f>
        <v/>
      </c>
      <c r="M70" s="4" t="str">
        <f>""</f>
        <v/>
      </c>
      <c r="N70" s="4" t="s">
        <v>34</v>
      </c>
      <c r="O70" s="3"/>
      <c r="P70" s="3"/>
      <c r="Q70" s="3"/>
      <c r="R70" s="4" t="s">
        <v>35</v>
      </c>
      <c r="S70" s="3"/>
      <c r="T70" s="4" t="str">
        <f>""</f>
        <v/>
      </c>
      <c r="U70" s="4" t="str">
        <f>"NCIA10360755"</f>
        <v>NCIA10360755</v>
      </c>
      <c r="V70" s="4" t="str">
        <f>""</f>
        <v/>
      </c>
      <c r="W70" s="4" t="s">
        <v>36</v>
      </c>
      <c r="X70" s="4" t="str">
        <f>"02MQ7"</f>
        <v>02MQ7</v>
      </c>
      <c r="Y70" s="4" t="str">
        <f>"11099-05028"</f>
        <v>11099-05028</v>
      </c>
      <c r="Z70" s="4" t="str">
        <f>""</f>
        <v/>
      </c>
      <c r="AA70" s="4" t="str">
        <f>""</f>
        <v/>
      </c>
      <c r="AB70" s="5">
        <v>43465</v>
      </c>
      <c r="AC70" s="4">
        <v>0</v>
      </c>
    </row>
    <row r="71" spans="1:29" ht="14.45" customHeight="1" x14ac:dyDescent="0.25">
      <c r="A71" s="4" t="s">
        <v>25</v>
      </c>
      <c r="B71" s="4" t="s">
        <v>26</v>
      </c>
      <c r="C71" s="4" t="s">
        <v>27</v>
      </c>
      <c r="D71" s="4" t="s">
        <v>28</v>
      </c>
      <c r="E71" s="4" t="s">
        <v>29</v>
      </c>
      <c r="F71" s="4" t="s">
        <v>30</v>
      </c>
      <c r="G71" s="4" t="s">
        <v>30</v>
      </c>
      <c r="H71" s="4" t="s">
        <v>31</v>
      </c>
      <c r="I71" s="4" t="s">
        <v>68</v>
      </c>
      <c r="J71" s="4" t="str">
        <f>"6130SB0039092"</f>
        <v>6130SB0039092</v>
      </c>
      <c r="K71" s="4" t="s">
        <v>104</v>
      </c>
      <c r="L71" s="4" t="str">
        <f>""</f>
        <v/>
      </c>
      <c r="M71" s="4" t="str">
        <f>""</f>
        <v/>
      </c>
      <c r="N71" s="4" t="s">
        <v>34</v>
      </c>
      <c r="O71" s="3"/>
      <c r="P71" s="3"/>
      <c r="Q71" s="3"/>
      <c r="R71" s="4" t="s">
        <v>35</v>
      </c>
      <c r="S71" s="3"/>
      <c r="T71" s="4" t="str">
        <f>""</f>
        <v/>
      </c>
      <c r="U71" s="4" t="str">
        <f>"NCIA10360754"</f>
        <v>NCIA10360754</v>
      </c>
      <c r="V71" s="4" t="str">
        <f>""</f>
        <v/>
      </c>
      <c r="W71" s="4" t="s">
        <v>36</v>
      </c>
      <c r="X71" s="4" t="str">
        <f>"02MQ7"</f>
        <v>02MQ7</v>
      </c>
      <c r="Y71" s="4" t="str">
        <f>"11099-05008"</f>
        <v>11099-05008</v>
      </c>
      <c r="Z71" s="4" t="str">
        <f>""</f>
        <v/>
      </c>
      <c r="AA71" s="4" t="str">
        <f>""</f>
        <v/>
      </c>
      <c r="AB71" s="5">
        <v>43465</v>
      </c>
      <c r="AC71" s="4">
        <v>0</v>
      </c>
    </row>
    <row r="72" spans="1:29" ht="14.45" customHeight="1" x14ac:dyDescent="0.25">
      <c r="A72" s="4" t="s">
        <v>25</v>
      </c>
      <c r="B72" s="4" t="s">
        <v>26</v>
      </c>
      <c r="C72" s="4" t="s">
        <v>27</v>
      </c>
      <c r="D72" s="4" t="s">
        <v>28</v>
      </c>
      <c r="E72" s="4" t="s">
        <v>29</v>
      </c>
      <c r="F72" s="4" t="s">
        <v>30</v>
      </c>
      <c r="G72" s="4" t="s">
        <v>30</v>
      </c>
      <c r="H72" s="4" t="s">
        <v>31</v>
      </c>
      <c r="I72" s="4" t="s">
        <v>66</v>
      </c>
      <c r="J72" s="4" t="str">
        <f>"6150SB0008618"</f>
        <v>6150SB0008618</v>
      </c>
      <c r="K72" s="4" t="s">
        <v>105</v>
      </c>
      <c r="L72" s="4" t="str">
        <f>""</f>
        <v/>
      </c>
      <c r="M72" s="4" t="str">
        <f>""</f>
        <v/>
      </c>
      <c r="N72" s="4" t="s">
        <v>34</v>
      </c>
      <c r="O72" s="3"/>
      <c r="P72" s="3"/>
      <c r="Q72" s="3"/>
      <c r="R72" s="4" t="s">
        <v>35</v>
      </c>
      <c r="S72" s="3"/>
      <c r="T72" s="4" t="str">
        <f>"10538-05013"</f>
        <v>10538-05013</v>
      </c>
      <c r="U72" s="4" t="str">
        <f>"NCIAX11187021"</f>
        <v>NCIAX11187021</v>
      </c>
      <c r="V72" s="4" t="str">
        <f>""</f>
        <v/>
      </c>
      <c r="W72" s="4" t="s">
        <v>36</v>
      </c>
      <c r="X72" s="4" t="str">
        <f>"02MQ7"</f>
        <v>02MQ7</v>
      </c>
      <c r="Y72" s="4" t="str">
        <f>"10538-05013"</f>
        <v>10538-05013</v>
      </c>
      <c r="Z72" s="4" t="str">
        <f>""</f>
        <v/>
      </c>
      <c r="AA72" s="4" t="str">
        <f>""</f>
        <v/>
      </c>
      <c r="AB72" s="5">
        <v>43465</v>
      </c>
      <c r="AC72" s="4">
        <v>0</v>
      </c>
    </row>
    <row r="73" spans="1:29" ht="14.45" customHeight="1" x14ac:dyDescent="0.25">
      <c r="A73" s="4" t="s">
        <v>25</v>
      </c>
      <c r="B73" s="4" t="s">
        <v>26</v>
      </c>
      <c r="C73" s="4" t="s">
        <v>27</v>
      </c>
      <c r="D73" s="4" t="s">
        <v>28</v>
      </c>
      <c r="E73" s="4" t="s">
        <v>29</v>
      </c>
      <c r="F73" s="4" t="s">
        <v>30</v>
      </c>
      <c r="G73" s="4" t="s">
        <v>30</v>
      </c>
      <c r="H73" s="4" t="s">
        <v>31</v>
      </c>
      <c r="I73" s="4" t="s">
        <v>106</v>
      </c>
      <c r="J73" s="4" t="str">
        <f>"6150SB0017647"</f>
        <v>6150SB0017647</v>
      </c>
      <c r="K73" s="4" t="s">
        <v>107</v>
      </c>
      <c r="L73" s="4" t="str">
        <f>""</f>
        <v/>
      </c>
      <c r="M73" s="4" t="str">
        <f>""</f>
        <v/>
      </c>
      <c r="N73" s="4" t="s">
        <v>34</v>
      </c>
      <c r="O73" s="3"/>
      <c r="P73" s="3"/>
      <c r="Q73" s="3"/>
      <c r="R73" s="4" t="s">
        <v>35</v>
      </c>
      <c r="S73" s="3"/>
      <c r="T73" s="4" t="str">
        <f>"10538-05012"</f>
        <v>10538-05012</v>
      </c>
      <c r="U73" s="4" t="str">
        <f>"NCIAX11187047"</f>
        <v>NCIAX11187047</v>
      </c>
      <c r="V73" s="4" t="str">
        <f>""</f>
        <v/>
      </c>
      <c r="W73" s="4" t="s">
        <v>36</v>
      </c>
      <c r="X73" s="4" t="str">
        <f>"02MQ7"</f>
        <v>02MQ7</v>
      </c>
      <c r="Y73" s="4" t="str">
        <f>"10538-05012"</f>
        <v>10538-05012</v>
      </c>
      <c r="Z73" s="4" t="str">
        <f>""</f>
        <v/>
      </c>
      <c r="AA73" s="4" t="str">
        <f>""</f>
        <v/>
      </c>
      <c r="AB73" s="5">
        <v>43465</v>
      </c>
      <c r="AC73" s="4">
        <v>0</v>
      </c>
    </row>
    <row r="74" spans="1:29" ht="14.45" customHeight="1" x14ac:dyDescent="0.25">
      <c r="A74" s="4" t="s">
        <v>25</v>
      </c>
      <c r="B74" s="4" t="s">
        <v>26</v>
      </c>
      <c r="C74" s="4" t="s">
        <v>27</v>
      </c>
      <c r="D74" s="4" t="s">
        <v>28</v>
      </c>
      <c r="E74" s="4" t="s">
        <v>29</v>
      </c>
      <c r="F74" s="4" t="s">
        <v>30</v>
      </c>
      <c r="G74" s="4" t="s">
        <v>30</v>
      </c>
      <c r="H74" s="4" t="s">
        <v>31</v>
      </c>
      <c r="I74" s="4" t="s">
        <v>108</v>
      </c>
      <c r="J74" s="4" t="str">
        <f>"6605SB0002421"</f>
        <v>6605SB0002421</v>
      </c>
      <c r="K74" s="4" t="s">
        <v>109</v>
      </c>
      <c r="L74" s="4" t="str">
        <f>""</f>
        <v/>
      </c>
      <c r="M74" s="4" t="str">
        <f>""</f>
        <v/>
      </c>
      <c r="N74" s="4" t="s">
        <v>34</v>
      </c>
      <c r="O74" s="3"/>
      <c r="P74" s="3"/>
      <c r="Q74" s="3"/>
      <c r="R74" s="4" t="s">
        <v>35</v>
      </c>
      <c r="S74" s="3"/>
      <c r="T74" s="4" t="str">
        <f>"10537-08008"</f>
        <v>10537-08008</v>
      </c>
      <c r="U74" s="4" t="str">
        <f>"03-116896"</f>
        <v>03-116896</v>
      </c>
      <c r="V74" s="4" t="str">
        <f>"1001046"</f>
        <v>1001046</v>
      </c>
      <c r="W74" s="4" t="s">
        <v>36</v>
      </c>
      <c r="X74" s="4" t="str">
        <f>"02MQ7"</f>
        <v>02MQ7</v>
      </c>
      <c r="Y74" s="4" t="str">
        <f>"10537-08008"</f>
        <v>10537-08008</v>
      </c>
      <c r="Z74" s="4" t="str">
        <f>""</f>
        <v/>
      </c>
      <c r="AA74" s="4" t="str">
        <f>""</f>
        <v/>
      </c>
      <c r="AB74" s="5">
        <v>43465</v>
      </c>
      <c r="AC74" s="4">
        <v>0</v>
      </c>
    </row>
    <row r="75" spans="1:29" ht="14.45" customHeight="1" x14ac:dyDescent="0.25">
      <c r="A75" s="4" t="s">
        <v>25</v>
      </c>
      <c r="B75" s="4" t="s">
        <v>26</v>
      </c>
      <c r="C75" s="4" t="s">
        <v>27</v>
      </c>
      <c r="D75" s="4" t="s">
        <v>28</v>
      </c>
      <c r="E75" s="4" t="s">
        <v>29</v>
      </c>
      <c r="F75" s="4" t="s">
        <v>30</v>
      </c>
      <c r="G75" s="4" t="s">
        <v>30</v>
      </c>
      <c r="H75" s="4" t="s">
        <v>31</v>
      </c>
      <c r="I75" s="4" t="s">
        <v>108</v>
      </c>
      <c r="J75" s="4" t="str">
        <f>"6605SB0002421"</f>
        <v>6605SB0002421</v>
      </c>
      <c r="K75" s="4" t="s">
        <v>109</v>
      </c>
      <c r="L75" s="4" t="str">
        <f>""</f>
        <v/>
      </c>
      <c r="M75" s="4" t="str">
        <f>""</f>
        <v/>
      </c>
      <c r="N75" s="4" t="s">
        <v>34</v>
      </c>
      <c r="O75" s="3"/>
      <c r="P75" s="3"/>
      <c r="Q75" s="3"/>
      <c r="R75" s="4" t="s">
        <v>35</v>
      </c>
      <c r="S75" s="3"/>
      <c r="T75" s="4" t="str">
        <f>"10537-08008"</f>
        <v>10537-08008</v>
      </c>
      <c r="U75" s="4" t="str">
        <f>"03-132325"</f>
        <v>03-132325</v>
      </c>
      <c r="V75" s="4" t="str">
        <f>"1002553"</f>
        <v>1002553</v>
      </c>
      <c r="W75" s="4" t="s">
        <v>36</v>
      </c>
      <c r="X75" s="4" t="str">
        <f>"59797"</f>
        <v>59797</v>
      </c>
      <c r="Y75" s="4" t="str">
        <f>"9383-04-10"</f>
        <v>9383-04-10</v>
      </c>
      <c r="Z75" s="4" t="str">
        <f>""</f>
        <v/>
      </c>
      <c r="AA75" s="4" t="str">
        <f>""</f>
        <v/>
      </c>
      <c r="AB75" s="5">
        <v>43465</v>
      </c>
      <c r="AC75" s="4">
        <v>0</v>
      </c>
    </row>
    <row r="76" spans="1:29" ht="14.45" customHeight="1" x14ac:dyDescent="0.25">
      <c r="A76" s="4" t="s">
        <v>25</v>
      </c>
      <c r="B76" s="4" t="s">
        <v>26</v>
      </c>
      <c r="C76" s="4" t="s">
        <v>27</v>
      </c>
      <c r="D76" s="4" t="s">
        <v>28</v>
      </c>
      <c r="E76" s="4" t="s">
        <v>29</v>
      </c>
      <c r="F76" s="4" t="s">
        <v>30</v>
      </c>
      <c r="G76" s="4" t="s">
        <v>30</v>
      </c>
      <c r="H76" s="4" t="s">
        <v>31</v>
      </c>
      <c r="I76" s="4" t="s">
        <v>110</v>
      </c>
      <c r="J76" s="4" t="str">
        <f>"6605SB0004329"</f>
        <v>6605SB0004329</v>
      </c>
      <c r="K76" s="4" t="s">
        <v>111</v>
      </c>
      <c r="L76" s="4" t="str">
        <f>""</f>
        <v/>
      </c>
      <c r="M76" s="4" t="str">
        <f>""</f>
        <v/>
      </c>
      <c r="N76" s="4" t="s">
        <v>34</v>
      </c>
      <c r="O76" s="3"/>
      <c r="P76" s="3"/>
      <c r="Q76" s="3"/>
      <c r="R76" s="4" t="s">
        <v>35</v>
      </c>
      <c r="S76" s="3"/>
      <c r="T76" s="4" t="str">
        <f>"PTF-3203A"</f>
        <v>PTF-3203A</v>
      </c>
      <c r="U76" s="4" t="str">
        <f>"01-95877"</f>
        <v>01-95877</v>
      </c>
      <c r="V76" s="4" t="str">
        <f>"904-00163-07"</f>
        <v>904-00163-07</v>
      </c>
      <c r="W76" s="4" t="s">
        <v>36</v>
      </c>
      <c r="X76" s="4" t="str">
        <f>"XB559"</f>
        <v>XB559</v>
      </c>
      <c r="Y76" s="4" t="str">
        <f>"PTF-3203A"</f>
        <v>PTF-3203A</v>
      </c>
      <c r="Z76" s="4" t="str">
        <f>""</f>
        <v/>
      </c>
      <c r="AA76" s="4" t="str">
        <f>""</f>
        <v/>
      </c>
      <c r="AB76" s="5">
        <v>43465</v>
      </c>
      <c r="AC76" s="4">
        <v>0</v>
      </c>
    </row>
    <row r="77" spans="1:29" ht="14.45" customHeight="1" x14ac:dyDescent="0.25">
      <c r="A77" s="4" t="s">
        <v>25</v>
      </c>
      <c r="B77" s="4" t="s">
        <v>26</v>
      </c>
      <c r="C77" s="4" t="s">
        <v>27</v>
      </c>
      <c r="D77" s="4" t="s">
        <v>28</v>
      </c>
      <c r="E77" s="4" t="s">
        <v>29</v>
      </c>
      <c r="F77" s="4" t="s">
        <v>30</v>
      </c>
      <c r="G77" s="4" t="s">
        <v>30</v>
      </c>
      <c r="H77" s="4" t="s">
        <v>31</v>
      </c>
      <c r="I77" s="4" t="s">
        <v>74</v>
      </c>
      <c r="J77" s="4" t="str">
        <f>"6625SB0002827"</f>
        <v>6625SB0002827</v>
      </c>
      <c r="K77" s="4" t="s">
        <v>112</v>
      </c>
      <c r="L77" s="4" t="str">
        <f>""</f>
        <v/>
      </c>
      <c r="M77" s="4" t="str">
        <f>""</f>
        <v/>
      </c>
      <c r="N77" s="4" t="s">
        <v>34</v>
      </c>
      <c r="O77" s="3"/>
      <c r="P77" s="3"/>
      <c r="Q77" s="3"/>
      <c r="R77" s="4" t="s">
        <v>35</v>
      </c>
      <c r="S77" s="3"/>
      <c r="T77" s="4" t="str">
        <f>"102813"</f>
        <v>102813</v>
      </c>
      <c r="U77" s="4" t="str">
        <f>"01-113784"</f>
        <v>01-113784</v>
      </c>
      <c r="V77" s="4" t="str">
        <f>"1881"</f>
        <v>1881</v>
      </c>
      <c r="W77" s="4" t="s">
        <v>36</v>
      </c>
      <c r="X77" s="4" t="str">
        <f>"52332"</f>
        <v>52332</v>
      </c>
      <c r="Y77" s="4" t="str">
        <f>"102813"</f>
        <v>102813</v>
      </c>
      <c r="Z77" s="4" t="str">
        <f>""</f>
        <v/>
      </c>
      <c r="AA77" s="4" t="str">
        <f>""</f>
        <v/>
      </c>
      <c r="AB77" s="5">
        <v>43465</v>
      </c>
      <c r="AC77" s="4">
        <v>0</v>
      </c>
    </row>
    <row r="78" spans="1:29" ht="14.45" customHeight="1" x14ac:dyDescent="0.25">
      <c r="A78" s="4" t="s">
        <v>25</v>
      </c>
      <c r="B78" s="4" t="s">
        <v>26</v>
      </c>
      <c r="C78" s="4" t="s">
        <v>27</v>
      </c>
      <c r="D78" s="4" t="s">
        <v>28</v>
      </c>
      <c r="E78" s="4" t="s">
        <v>29</v>
      </c>
      <c r="F78" s="4" t="s">
        <v>30</v>
      </c>
      <c r="G78" s="4" t="s">
        <v>30</v>
      </c>
      <c r="H78" s="4" t="s">
        <v>31</v>
      </c>
      <c r="I78" s="4" t="s">
        <v>113</v>
      </c>
      <c r="J78" s="4" t="str">
        <f>"6625SB0003458"</f>
        <v>6625SB0003458</v>
      </c>
      <c r="K78" s="4" t="s">
        <v>114</v>
      </c>
      <c r="L78" s="4" t="str">
        <f>""</f>
        <v/>
      </c>
      <c r="M78" s="4" t="str">
        <f>""</f>
        <v/>
      </c>
      <c r="N78" s="4" t="s">
        <v>34</v>
      </c>
      <c r="O78" s="3"/>
      <c r="P78" s="3"/>
      <c r="Q78" s="3"/>
      <c r="R78" s="4" t="s">
        <v>35</v>
      </c>
      <c r="S78" s="3"/>
      <c r="T78" s="4" t="str">
        <f>"10537-05013"</f>
        <v>10537-05013</v>
      </c>
      <c r="U78" s="4" t="str">
        <f>"01-113900"</f>
        <v>01-113900</v>
      </c>
      <c r="V78" s="4" t="str">
        <f>"1001173"</f>
        <v>1001173</v>
      </c>
      <c r="W78" s="4" t="s">
        <v>36</v>
      </c>
      <c r="X78" s="4" t="str">
        <f>"02MQ7"</f>
        <v>02MQ7</v>
      </c>
      <c r="Y78" s="4" t="str">
        <f>"10537-05013"</f>
        <v>10537-05013</v>
      </c>
      <c r="Z78" s="4" t="str">
        <f>""</f>
        <v/>
      </c>
      <c r="AA78" s="4" t="str">
        <f>""</f>
        <v/>
      </c>
      <c r="AB78" s="5">
        <v>43465</v>
      </c>
      <c r="AC78" s="4">
        <v>0</v>
      </c>
    </row>
    <row r="79" spans="1:29" ht="14.45" customHeight="1" x14ac:dyDescent="0.25">
      <c r="A79" s="4" t="s">
        <v>25</v>
      </c>
      <c r="B79" s="4" t="s">
        <v>26</v>
      </c>
      <c r="C79" s="4" t="s">
        <v>27</v>
      </c>
      <c r="D79" s="4" t="s">
        <v>28</v>
      </c>
      <c r="E79" s="4" t="s">
        <v>29</v>
      </c>
      <c r="F79" s="4" t="s">
        <v>30</v>
      </c>
      <c r="G79" s="4" t="s">
        <v>30</v>
      </c>
      <c r="H79" s="4" t="s">
        <v>31</v>
      </c>
      <c r="I79" s="4" t="s">
        <v>115</v>
      </c>
      <c r="J79" s="4" t="str">
        <f>"7021SB0016828"</f>
        <v>7021SB0016828</v>
      </c>
      <c r="K79" s="4" t="s">
        <v>116</v>
      </c>
      <c r="L79" s="4" t="str">
        <f>""</f>
        <v/>
      </c>
      <c r="M79" s="4" t="str">
        <f>""</f>
        <v/>
      </c>
      <c r="N79" s="4" t="s">
        <v>34</v>
      </c>
      <c r="O79" s="3"/>
      <c r="P79" s="3"/>
      <c r="Q79" s="3"/>
      <c r="R79" s="4" t="s">
        <v>35</v>
      </c>
      <c r="S79" s="3"/>
      <c r="T79" s="4" t="str">
        <f>"7010145666009"</f>
        <v>7010145666009</v>
      </c>
      <c r="U79" s="4" t="str">
        <f>"01-135224"</f>
        <v>01-135224</v>
      </c>
      <c r="V79" s="4" t="str">
        <f>"RB139S0096"</f>
        <v>RB139S0096</v>
      </c>
      <c r="W79" s="4" t="s">
        <v>36</v>
      </c>
      <c r="X79" s="4" t="str">
        <f>"FASL7"</f>
        <v>FASL7</v>
      </c>
      <c r="Y79" s="4" t="str">
        <f>"BIT-RNB P470"</f>
        <v>BIT-RNB P470</v>
      </c>
      <c r="Z79" s="4" t="str">
        <f>""</f>
        <v/>
      </c>
      <c r="AA79" s="4" t="str">
        <f>""</f>
        <v/>
      </c>
      <c r="AB79" s="5">
        <v>43465</v>
      </c>
      <c r="AC79" s="4">
        <v>0</v>
      </c>
    </row>
    <row r="80" spans="1:29" ht="14.45" customHeight="1" x14ac:dyDescent="0.25">
      <c r="A80" s="4" t="s">
        <v>25</v>
      </c>
      <c r="B80" s="4" t="s">
        <v>26</v>
      </c>
      <c r="C80" s="4" t="s">
        <v>27</v>
      </c>
      <c r="D80" s="4" t="s">
        <v>28</v>
      </c>
      <c r="E80" s="4" t="s">
        <v>29</v>
      </c>
      <c r="F80" s="4" t="s">
        <v>30</v>
      </c>
      <c r="G80" s="4" t="s">
        <v>30</v>
      </c>
      <c r="H80" s="4" t="s">
        <v>31</v>
      </c>
      <c r="I80" s="4" t="s">
        <v>117</v>
      </c>
      <c r="J80" s="4" t="str">
        <f>"7021SB0038750"</f>
        <v>7021SB0038750</v>
      </c>
      <c r="K80" s="4" t="s">
        <v>118</v>
      </c>
      <c r="L80" s="4" t="str">
        <f>""</f>
        <v/>
      </c>
      <c r="M80" s="4" t="str">
        <f>""</f>
        <v/>
      </c>
      <c r="N80" s="4" t="s">
        <v>34</v>
      </c>
      <c r="O80" s="3"/>
      <c r="P80" s="3"/>
      <c r="Q80" s="3"/>
      <c r="R80" s="4" t="s">
        <v>35</v>
      </c>
      <c r="S80" s="3"/>
      <c r="T80" s="4" t="str">
        <f>""</f>
        <v/>
      </c>
      <c r="U80" s="4" t="str">
        <f>"NCIA10284301"</f>
        <v>NCIA10284301</v>
      </c>
      <c r="V80" s="4" t="str">
        <f>"RGB39S1499"</f>
        <v>RGB39S1499</v>
      </c>
      <c r="W80" s="4" t="s">
        <v>36</v>
      </c>
      <c r="X80" s="4" t="str">
        <f>"00PP6"</f>
        <v>00PP6</v>
      </c>
      <c r="Y80" s="4" t="str">
        <f>"GETAC-S400-CONFIG 1"</f>
        <v>GETAC-S400-CONFIG 1</v>
      </c>
      <c r="Z80" s="4" t="str">
        <f>""</f>
        <v/>
      </c>
      <c r="AA80" s="4" t="str">
        <f>""</f>
        <v/>
      </c>
      <c r="AB80" s="5">
        <v>43465</v>
      </c>
      <c r="AC80" s="4">
        <v>0</v>
      </c>
    </row>
    <row r="81" spans="1:29" ht="14.45" customHeight="1" x14ac:dyDescent="0.25">
      <c r="A81" s="4" t="s">
        <v>25</v>
      </c>
      <c r="B81" s="4" t="s">
        <v>26</v>
      </c>
      <c r="C81" s="4" t="s">
        <v>27</v>
      </c>
      <c r="D81" s="4" t="s">
        <v>28</v>
      </c>
      <c r="E81" s="4" t="s">
        <v>29</v>
      </c>
      <c r="F81" s="4" t="s">
        <v>30</v>
      </c>
      <c r="G81" s="4" t="s">
        <v>30</v>
      </c>
      <c r="H81" s="4" t="s">
        <v>31</v>
      </c>
      <c r="I81" s="4" t="s">
        <v>119</v>
      </c>
      <c r="J81" s="4" t="str">
        <f>"7021SB0040903"</f>
        <v>7021SB0040903</v>
      </c>
      <c r="K81" s="4" t="s">
        <v>120</v>
      </c>
      <c r="L81" s="4" t="str">
        <f>""</f>
        <v/>
      </c>
      <c r="M81" s="4" t="str">
        <f>""</f>
        <v/>
      </c>
      <c r="N81" s="4" t="s">
        <v>34</v>
      </c>
      <c r="O81" s="3"/>
      <c r="P81" s="3"/>
      <c r="Q81" s="3"/>
      <c r="R81" s="4" t="s">
        <v>35</v>
      </c>
      <c r="S81" s="3"/>
      <c r="T81" s="4" t="str">
        <f>"7021145879492"</f>
        <v>7021145879492</v>
      </c>
      <c r="U81" s="4" t="str">
        <f>"NCIA10398232"</f>
        <v>NCIA10398232</v>
      </c>
      <c r="V81" s="4" t="str">
        <f>"181019-0083989-00024"</f>
        <v>181019-0083989-00024</v>
      </c>
      <c r="W81" s="4" t="s">
        <v>36</v>
      </c>
      <c r="X81" s="4" t="str">
        <f>"F5511"</f>
        <v>F5511</v>
      </c>
      <c r="Y81" s="4" t="str">
        <f>"95005442"</f>
        <v>95005442</v>
      </c>
      <c r="Z81" s="4" t="str">
        <f>""</f>
        <v/>
      </c>
      <c r="AA81" s="4" t="str">
        <f>""</f>
        <v/>
      </c>
      <c r="AB81" s="5">
        <v>43465</v>
      </c>
      <c r="AC81" s="4">
        <v>0</v>
      </c>
    </row>
    <row r="82" spans="1:29" ht="14.45" customHeight="1" x14ac:dyDescent="0.25">
      <c r="A82" s="4" t="s">
        <v>25</v>
      </c>
      <c r="B82" s="4" t="s">
        <v>26</v>
      </c>
      <c r="C82" s="4" t="s">
        <v>27</v>
      </c>
      <c r="D82" s="4" t="s">
        <v>28</v>
      </c>
      <c r="E82" s="4" t="s">
        <v>29</v>
      </c>
      <c r="F82" s="4" t="s">
        <v>30</v>
      </c>
      <c r="G82" s="4" t="s">
        <v>30</v>
      </c>
      <c r="H82" s="4" t="s">
        <v>31</v>
      </c>
      <c r="I82" s="4" t="s">
        <v>119</v>
      </c>
      <c r="J82" s="4" t="str">
        <f>"7021SB0040904"</f>
        <v>7021SB0040904</v>
      </c>
      <c r="K82" s="4" t="s">
        <v>121</v>
      </c>
      <c r="L82" s="4" t="str">
        <f>""</f>
        <v/>
      </c>
      <c r="M82" s="4" t="str">
        <f>""</f>
        <v/>
      </c>
      <c r="N82" s="4" t="s">
        <v>34</v>
      </c>
      <c r="O82" s="3"/>
      <c r="P82" s="3"/>
      <c r="Q82" s="3"/>
      <c r="R82" s="4" t="s">
        <v>35</v>
      </c>
      <c r="S82" s="3"/>
      <c r="T82" s="4" t="str">
        <f>"7010145879120"</f>
        <v>7010145879120</v>
      </c>
      <c r="U82" s="4" t="str">
        <f>"NCIA10398233"</f>
        <v>NCIA10398233</v>
      </c>
      <c r="V82" s="4" t="str">
        <f>"180817-0083991-00024"</f>
        <v>180817-0083991-00024</v>
      </c>
      <c r="W82" s="4" t="s">
        <v>36</v>
      </c>
      <c r="X82" s="4" t="str">
        <f>"F5511"</f>
        <v>F5511</v>
      </c>
      <c r="Y82" s="4" t="str">
        <f>"95005449"</f>
        <v>95005449</v>
      </c>
      <c r="Z82" s="4" t="str">
        <f>""</f>
        <v/>
      </c>
      <c r="AA82" s="4" t="str">
        <f>""</f>
        <v/>
      </c>
      <c r="AB82" s="5">
        <v>43465</v>
      </c>
      <c r="AC82" s="4">
        <v>0</v>
      </c>
    </row>
    <row r="83" spans="1:29" ht="14.45" customHeight="1" x14ac:dyDescent="0.25">
      <c r="A83" s="4" t="s">
        <v>25</v>
      </c>
      <c r="B83" s="4" t="s">
        <v>26</v>
      </c>
      <c r="C83" s="4" t="s">
        <v>27</v>
      </c>
      <c r="D83" s="4" t="s">
        <v>28</v>
      </c>
      <c r="E83" s="4" t="s">
        <v>29</v>
      </c>
      <c r="F83" s="4" t="s">
        <v>30</v>
      </c>
      <c r="G83" s="4" t="s">
        <v>30</v>
      </c>
      <c r="H83" s="4" t="s">
        <v>122</v>
      </c>
      <c r="I83" s="4" t="s">
        <v>119</v>
      </c>
      <c r="J83" s="4" t="str">
        <f>"7021SB0042170"</f>
        <v>7021SB0042170</v>
      </c>
      <c r="K83" s="4" t="s">
        <v>123</v>
      </c>
      <c r="L83" s="4" t="str">
        <f>""</f>
        <v/>
      </c>
      <c r="M83" s="4" t="str">
        <f>""</f>
        <v/>
      </c>
      <c r="N83" s="4" t="s">
        <v>34</v>
      </c>
      <c r="O83" s="3"/>
      <c r="P83" s="3"/>
      <c r="Q83" s="3"/>
      <c r="R83" s="4" t="s">
        <v>35</v>
      </c>
      <c r="S83" s="3"/>
      <c r="T83" s="4" t="str">
        <f>""</f>
        <v/>
      </c>
      <c r="U83" s="4" t="str">
        <f>"NCIA10309944"</f>
        <v>NCIA10309944</v>
      </c>
      <c r="V83" s="4" t="str">
        <f>"6SJLG92"</f>
        <v>6SJLG92</v>
      </c>
      <c r="W83" s="4" t="s">
        <v>36</v>
      </c>
      <c r="X83" s="4" t="str">
        <f>"1GE11"</f>
        <v>1GE11</v>
      </c>
      <c r="Y83" s="4" t="str">
        <f>"5414"</f>
        <v>5414</v>
      </c>
      <c r="Z83" s="4" t="str">
        <f>""</f>
        <v/>
      </c>
      <c r="AA83" s="4" t="str">
        <f>""</f>
        <v/>
      </c>
      <c r="AB83" s="5">
        <v>43465</v>
      </c>
      <c r="AC83" s="4">
        <v>0</v>
      </c>
    </row>
    <row r="84" spans="1:29" ht="14.45" customHeight="1" x14ac:dyDescent="0.25">
      <c r="A84" s="4" t="s">
        <v>25</v>
      </c>
      <c r="B84" s="4" t="s">
        <v>26</v>
      </c>
      <c r="C84" s="4" t="s">
        <v>27</v>
      </c>
      <c r="D84" s="4" t="s">
        <v>28</v>
      </c>
      <c r="E84" s="4" t="s">
        <v>29</v>
      </c>
      <c r="F84" s="4" t="s">
        <v>30</v>
      </c>
      <c r="G84" s="4" t="s">
        <v>30</v>
      </c>
      <c r="H84" s="4" t="s">
        <v>31</v>
      </c>
      <c r="I84" s="4" t="s">
        <v>119</v>
      </c>
      <c r="J84" s="4" t="str">
        <f>"7021SB0042635"</f>
        <v>7021SB0042635</v>
      </c>
      <c r="K84" s="4" t="s">
        <v>124</v>
      </c>
      <c r="L84" s="4" t="str">
        <f>""</f>
        <v/>
      </c>
      <c r="M84" s="4" t="str">
        <f>""</f>
        <v/>
      </c>
      <c r="N84" s="4" t="s">
        <v>34</v>
      </c>
      <c r="O84" s="3"/>
      <c r="P84" s="3"/>
      <c r="Q84" s="3"/>
      <c r="R84" s="4" t="s">
        <v>35</v>
      </c>
      <c r="S84" s="3"/>
      <c r="T84" s="4" t="str">
        <f>"7021145879493"</f>
        <v>7021145879493</v>
      </c>
      <c r="U84" s="4" t="str">
        <f>"NCIA10398239"</f>
        <v>NCIA10398239</v>
      </c>
      <c r="V84" s="4" t="str">
        <f>"181108-0083990-00025"</f>
        <v>181108-0083990-00025</v>
      </c>
      <c r="W84" s="4" t="s">
        <v>36</v>
      </c>
      <c r="X84" s="4" t="str">
        <f>"F5511"</f>
        <v>F5511</v>
      </c>
      <c r="Y84" s="4" t="str">
        <f>"95005443"</f>
        <v>95005443</v>
      </c>
      <c r="Z84" s="4" t="str">
        <f>""</f>
        <v/>
      </c>
      <c r="AA84" s="4" t="str">
        <f>""</f>
        <v/>
      </c>
      <c r="AB84" s="5">
        <v>43465</v>
      </c>
      <c r="AC84" s="4">
        <v>0</v>
      </c>
    </row>
    <row r="85" spans="1:29" ht="14.45" customHeight="1" x14ac:dyDescent="0.25">
      <c r="A85" s="4" t="s">
        <v>25</v>
      </c>
      <c r="B85" s="4" t="s">
        <v>26</v>
      </c>
      <c r="C85" s="4" t="s">
        <v>27</v>
      </c>
      <c r="D85" s="4" t="s">
        <v>28</v>
      </c>
      <c r="E85" s="4" t="s">
        <v>29</v>
      </c>
      <c r="F85" s="4" t="s">
        <v>30</v>
      </c>
      <c r="G85" s="4" t="s">
        <v>30</v>
      </c>
      <c r="H85" s="4" t="s">
        <v>31</v>
      </c>
      <c r="I85" s="4" t="s">
        <v>37</v>
      </c>
      <c r="J85" s="4" t="str">
        <f>"7025SB0040905"</f>
        <v>7025SB0040905</v>
      </c>
      <c r="K85" s="4" t="s">
        <v>125</v>
      </c>
      <c r="L85" s="4" t="str">
        <f>""</f>
        <v/>
      </c>
      <c r="M85" s="4" t="str">
        <f>""</f>
        <v/>
      </c>
      <c r="N85" s="4" t="s">
        <v>34</v>
      </c>
      <c r="O85" s="3"/>
      <c r="P85" s="3"/>
      <c r="Q85" s="3"/>
      <c r="R85" s="4" t="s">
        <v>35</v>
      </c>
      <c r="S85" s="3"/>
      <c r="T85" s="4" t="str">
        <f>"7025145885850"</f>
        <v>7025145885850</v>
      </c>
      <c r="U85" s="4" t="str">
        <f>"NCIA10398234"</f>
        <v>NCIA10398234</v>
      </c>
      <c r="V85" s="4" t="str">
        <f>"170418A-00058"</f>
        <v>170418A-00058</v>
      </c>
      <c r="W85" s="4" t="s">
        <v>36</v>
      </c>
      <c r="X85" s="4" t="str">
        <f>"F5511"</f>
        <v>F5511</v>
      </c>
      <c r="Y85" s="4" t="str">
        <f>"70501088"</f>
        <v>70501088</v>
      </c>
      <c r="Z85" s="4" t="str">
        <f>""</f>
        <v/>
      </c>
      <c r="AA85" s="4" t="str">
        <f>""</f>
        <v/>
      </c>
      <c r="AB85" s="5">
        <v>43465</v>
      </c>
      <c r="AC85" s="4">
        <v>0</v>
      </c>
    </row>
    <row r="86" spans="1:29" ht="14.45" customHeight="1" x14ac:dyDescent="0.25">
      <c r="A86" s="4" t="s">
        <v>25</v>
      </c>
      <c r="B86" s="4" t="s">
        <v>26</v>
      </c>
      <c r="C86" s="4" t="s">
        <v>27</v>
      </c>
      <c r="D86" s="4" t="s">
        <v>28</v>
      </c>
      <c r="E86" s="4" t="s">
        <v>29</v>
      </c>
      <c r="F86" s="4" t="s">
        <v>30</v>
      </c>
      <c r="G86" s="4" t="s">
        <v>30</v>
      </c>
      <c r="H86" s="4" t="s">
        <v>31</v>
      </c>
      <c r="I86" s="4" t="s">
        <v>126</v>
      </c>
      <c r="J86" s="4" t="str">
        <f>"7035SB0000543"</f>
        <v>7035SB0000543</v>
      </c>
      <c r="K86" s="4" t="s">
        <v>127</v>
      </c>
      <c r="L86" s="4" t="str">
        <f>""</f>
        <v/>
      </c>
      <c r="M86" s="4" t="str">
        <f>""</f>
        <v/>
      </c>
      <c r="N86" s="4" t="s">
        <v>34</v>
      </c>
      <c r="O86" s="3"/>
      <c r="P86" s="3"/>
      <c r="Q86" s="3"/>
      <c r="R86" s="4" t="s">
        <v>35</v>
      </c>
      <c r="S86" s="3"/>
      <c r="T86" s="4" t="str">
        <f>"5930015688478"</f>
        <v>5930015688478</v>
      </c>
      <c r="U86" s="4" t="str">
        <f>"NCIA10398235"</f>
        <v>NCIA10398235</v>
      </c>
      <c r="V86" s="4" t="str">
        <f>"3BN1687C80888"</f>
        <v>3BN1687C80888</v>
      </c>
      <c r="W86" s="4" t="s">
        <v>36</v>
      </c>
      <c r="X86" s="4" t="str">
        <f>"1S0S8"</f>
        <v>1S0S8</v>
      </c>
      <c r="Y86" s="4" t="str">
        <f>"FS108P"</f>
        <v>FS108P</v>
      </c>
      <c r="Z86" s="4" t="str">
        <f>""</f>
        <v/>
      </c>
      <c r="AA86" s="4" t="str">
        <f>""</f>
        <v/>
      </c>
      <c r="AB86" s="5">
        <v>43465</v>
      </c>
      <c r="AC86" s="4">
        <v>0</v>
      </c>
    </row>
    <row r="87" spans="1:29" ht="14.45" customHeight="1" x14ac:dyDescent="0.25">
      <c r="A87" s="4" t="s">
        <v>25</v>
      </c>
      <c r="B87" s="4" t="s">
        <v>26</v>
      </c>
      <c r="C87" s="4" t="s">
        <v>27</v>
      </c>
      <c r="D87" s="4" t="s">
        <v>28</v>
      </c>
      <c r="E87" s="4" t="s">
        <v>29</v>
      </c>
      <c r="F87" s="4" t="s">
        <v>30</v>
      </c>
      <c r="G87" s="4" t="s">
        <v>30</v>
      </c>
      <c r="H87" s="4" t="s">
        <v>31</v>
      </c>
      <c r="I87" s="4" t="s">
        <v>128</v>
      </c>
      <c r="J87" s="4" t="str">
        <f>"7035SB0001616"</f>
        <v>7035SB0001616</v>
      </c>
      <c r="K87" s="4" t="s">
        <v>129</v>
      </c>
      <c r="L87" s="4" t="str">
        <f>""</f>
        <v/>
      </c>
      <c r="M87" s="4" t="str">
        <f>""</f>
        <v/>
      </c>
      <c r="N87" s="4" t="s">
        <v>34</v>
      </c>
      <c r="O87" s="3"/>
      <c r="P87" s="3"/>
      <c r="Q87" s="3"/>
      <c r="R87" s="4" t="s">
        <v>35</v>
      </c>
      <c r="S87" s="3"/>
      <c r="T87" s="4" t="str">
        <f>"7025015154390"</f>
        <v>7025015154390</v>
      </c>
      <c r="U87" s="4" t="str">
        <f>"NCIA10107252"</f>
        <v>NCIA10107252</v>
      </c>
      <c r="V87" s="4" t="str">
        <f>"CAT0947N50R"</f>
        <v>CAT0947N50R</v>
      </c>
      <c r="W87" s="4" t="s">
        <v>36</v>
      </c>
      <c r="X87" s="4" t="str">
        <f>"0GX96"</f>
        <v>0GX96</v>
      </c>
      <c r="Y87" s="4" t="str">
        <f>"WS-C3750G-12S-S"</f>
        <v>WS-C3750G-12S-S</v>
      </c>
      <c r="Z87" s="4" t="str">
        <f>""</f>
        <v/>
      </c>
      <c r="AA87" s="4" t="str">
        <f>""</f>
        <v/>
      </c>
      <c r="AB87" s="5">
        <v>43465</v>
      </c>
      <c r="AC87" s="4">
        <v>0</v>
      </c>
    </row>
    <row r="88" spans="1:29" ht="14.45" customHeight="1" x14ac:dyDescent="0.25">
      <c r="A88" s="4" t="s">
        <v>25</v>
      </c>
      <c r="B88" s="4" t="s">
        <v>26</v>
      </c>
      <c r="C88" s="4" t="s">
        <v>27</v>
      </c>
      <c r="D88" s="4" t="s">
        <v>28</v>
      </c>
      <c r="E88" s="4" t="s">
        <v>29</v>
      </c>
      <c r="F88" s="4" t="s">
        <v>30</v>
      </c>
      <c r="G88" s="4" t="s">
        <v>30</v>
      </c>
      <c r="H88" s="4" t="s">
        <v>31</v>
      </c>
      <c r="I88" s="4" t="s">
        <v>51</v>
      </c>
      <c r="J88" s="4" t="str">
        <f>"7035SB0001752"</f>
        <v>7035SB0001752</v>
      </c>
      <c r="K88" s="4" t="s">
        <v>130</v>
      </c>
      <c r="L88" s="4" t="str">
        <f>""</f>
        <v/>
      </c>
      <c r="M88" s="4" t="str">
        <f>""</f>
        <v/>
      </c>
      <c r="N88" s="4" t="s">
        <v>34</v>
      </c>
      <c r="O88" s="3"/>
      <c r="P88" s="3"/>
      <c r="Q88" s="3"/>
      <c r="R88" s="4" t="s">
        <v>35</v>
      </c>
      <c r="S88" s="3"/>
      <c r="T88" s="4" t="str">
        <f>"CISCO7301"</f>
        <v>CISCO7301</v>
      </c>
      <c r="U88" s="4" t="str">
        <f>"01-114101"</f>
        <v>01-114101</v>
      </c>
      <c r="V88" s="4" t="str">
        <f>"74856595"</f>
        <v>74856595</v>
      </c>
      <c r="W88" s="4" t="s">
        <v>36</v>
      </c>
      <c r="X88" s="4" t="str">
        <f>"1WXV7"</f>
        <v>1WXV7</v>
      </c>
      <c r="Y88" s="4" t="str">
        <f>"800-217-54-12DO"</f>
        <v>800-217-54-12DO</v>
      </c>
      <c r="Z88" s="4" t="str">
        <f>""</f>
        <v/>
      </c>
      <c r="AA88" s="4" t="str">
        <f>""</f>
        <v/>
      </c>
      <c r="AB88" s="5">
        <v>43465</v>
      </c>
      <c r="AC88" s="4">
        <v>0</v>
      </c>
    </row>
    <row r="89" spans="1:29" ht="14.45" customHeight="1" x14ac:dyDescent="0.25">
      <c r="A89" s="4" t="s">
        <v>25</v>
      </c>
      <c r="B89" s="4" t="s">
        <v>26</v>
      </c>
      <c r="C89" s="4" t="s">
        <v>27</v>
      </c>
      <c r="D89" s="4" t="s">
        <v>28</v>
      </c>
      <c r="E89" s="4" t="s">
        <v>29</v>
      </c>
      <c r="F89" s="4" t="s">
        <v>30</v>
      </c>
      <c r="G89" s="4" t="s">
        <v>30</v>
      </c>
      <c r="H89" s="4" t="s">
        <v>31</v>
      </c>
      <c r="I89" s="4" t="s">
        <v>131</v>
      </c>
      <c r="J89" s="4" t="str">
        <f>"7035SB0021026"</f>
        <v>7035SB0021026</v>
      </c>
      <c r="K89" s="4" t="s">
        <v>132</v>
      </c>
      <c r="L89" s="4" t="str">
        <f>""</f>
        <v/>
      </c>
      <c r="M89" s="4" t="str">
        <f>""</f>
        <v/>
      </c>
      <c r="N89" s="4" t="s">
        <v>34</v>
      </c>
      <c r="O89" s="3"/>
      <c r="P89" s="3"/>
      <c r="Q89" s="3"/>
      <c r="R89" s="4" t="s">
        <v>35</v>
      </c>
      <c r="S89" s="3"/>
      <c r="T89" s="4" t="str">
        <f>"7035-UE-02376"</f>
        <v>7035-UE-02376</v>
      </c>
      <c r="U89" s="4" t="str">
        <f>"NCIA10400004"</f>
        <v>NCIA10400004</v>
      </c>
      <c r="V89" s="4" t="str">
        <f>"180820-0083987-00054"</f>
        <v>180820-0083987-00054</v>
      </c>
      <c r="W89" s="4" t="s">
        <v>36</v>
      </c>
      <c r="X89" s="4" t="str">
        <f>"0GX96"</f>
        <v>0GX96</v>
      </c>
      <c r="Y89" s="4" t="str">
        <f>"C2901-AX/K9-RF"</f>
        <v>C2901-AX/K9-RF</v>
      </c>
      <c r="Z89" s="4" t="str">
        <f>""</f>
        <v/>
      </c>
      <c r="AA89" s="4" t="str">
        <f>""</f>
        <v/>
      </c>
      <c r="AB89" s="5">
        <v>43465</v>
      </c>
      <c r="AC89" s="4">
        <v>0</v>
      </c>
    </row>
    <row r="90" spans="1:29" ht="14.45" customHeight="1" x14ac:dyDescent="0.25">
      <c r="A90" s="4" t="s">
        <v>25</v>
      </c>
      <c r="B90" s="4" t="s">
        <v>26</v>
      </c>
      <c r="C90" s="4" t="s">
        <v>27</v>
      </c>
      <c r="D90" s="4" t="s">
        <v>28</v>
      </c>
      <c r="E90" s="4" t="s">
        <v>29</v>
      </c>
      <c r="F90" s="4" t="s">
        <v>30</v>
      </c>
      <c r="G90" s="4" t="s">
        <v>30</v>
      </c>
      <c r="H90" s="4" t="s">
        <v>31</v>
      </c>
      <c r="I90" s="4" t="s">
        <v>133</v>
      </c>
      <c r="J90" s="4" t="str">
        <f>"7035SB0040902"</f>
        <v>7035SB0040902</v>
      </c>
      <c r="K90" s="4" t="s">
        <v>134</v>
      </c>
      <c r="L90" s="4" t="str">
        <f>""</f>
        <v/>
      </c>
      <c r="M90" s="4" t="str">
        <f>""</f>
        <v/>
      </c>
      <c r="N90" s="4" t="s">
        <v>34</v>
      </c>
      <c r="O90" s="3"/>
      <c r="P90" s="3"/>
      <c r="Q90" s="3"/>
      <c r="R90" s="4" t="s">
        <v>35</v>
      </c>
      <c r="S90" s="3"/>
      <c r="T90" s="4" t="str">
        <f>"5895145879119"</f>
        <v>5895145879119</v>
      </c>
      <c r="U90" s="4" t="str">
        <f>"NCIA10398231"</f>
        <v>NCIA10398231</v>
      </c>
      <c r="V90" s="4" t="str">
        <f>"180727-0083988-00025"</f>
        <v>180727-0083988-00025</v>
      </c>
      <c r="W90" s="4" t="s">
        <v>36</v>
      </c>
      <c r="X90" s="4" t="str">
        <f>"F5511"</f>
        <v>F5511</v>
      </c>
      <c r="Y90" s="4" t="str">
        <f>"95005441"</f>
        <v>95005441</v>
      </c>
      <c r="Z90" s="4" t="str">
        <f>""</f>
        <v/>
      </c>
      <c r="AA90" s="4" t="str">
        <f>""</f>
        <v/>
      </c>
      <c r="AB90" s="5">
        <v>43465</v>
      </c>
      <c r="AC90" s="4">
        <v>0</v>
      </c>
    </row>
    <row r="91" spans="1:29" ht="12" customHeight="1" x14ac:dyDescent="0.25">
      <c r="A91" s="262"/>
      <c r="B91" s="264" t="s">
        <v>135</v>
      </c>
      <c r="C91" s="7" t="s">
        <v>136</v>
      </c>
      <c r="D91" s="8">
        <v>44287</v>
      </c>
    </row>
    <row r="92" spans="1:29" ht="12" customHeight="1" x14ac:dyDescent="0.25">
      <c r="A92" s="263"/>
      <c r="B92" s="265"/>
      <c r="C92" s="7" t="s">
        <v>137</v>
      </c>
      <c r="D92" s="9" t="s">
        <v>138</v>
      </c>
    </row>
  </sheetData>
  <mergeCells count="2">
    <mergeCell ref="A91:A92"/>
    <mergeCell ref="B91:B92"/>
  </mergeCells>
  <pageMargins left="0.75" right="0.75" top="1" bottom="1" header="0.5" footer="0.5"/>
  <pageSetup paperSize="9" scale="28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24"/>
  <sheetViews>
    <sheetView workbookViewId="0">
      <selection sqref="A1:XFD1048576"/>
    </sheetView>
  </sheetViews>
  <sheetFormatPr defaultRowHeight="15" x14ac:dyDescent="0.25"/>
  <cols>
    <col min="1" max="1" width="23.28515625" bestFit="1" customWidth="1"/>
    <col min="2" max="2" width="36.5703125" bestFit="1" customWidth="1"/>
    <col min="3" max="3" width="19" bestFit="1" customWidth="1"/>
    <col min="4" max="4" width="9.7109375" bestFit="1" customWidth="1"/>
    <col min="5" max="5" width="11.7109375" bestFit="1" customWidth="1"/>
    <col min="6" max="6" width="16" bestFit="1" customWidth="1"/>
    <col min="7" max="7" width="15.85546875" bestFit="1" customWidth="1"/>
    <col min="8" max="8" width="15" bestFit="1" customWidth="1"/>
    <col min="9" max="9" width="34.7109375" bestFit="1" customWidth="1"/>
    <col min="10" max="10" width="4.5703125" customWidth="1"/>
    <col min="11" max="11" width="36.5703125" bestFit="1" customWidth="1"/>
    <col min="12" max="12" width="7.5703125" customWidth="1"/>
    <col min="13" max="13" width="13.42578125" bestFit="1" customWidth="1"/>
    <col min="14" max="14" width="4.5703125" customWidth="1"/>
    <col min="18" max="18" width="14.85546875" bestFit="1" customWidth="1"/>
    <col min="20" max="20" width="11.140625" bestFit="1" customWidth="1"/>
    <col min="21" max="21" width="12.140625" bestFit="1" customWidth="1"/>
    <col min="22" max="22" width="18.7109375" bestFit="1" customWidth="1"/>
    <col min="23" max="23" width="17.85546875" bestFit="1" customWidth="1"/>
    <col min="24" max="24" width="12" bestFit="1" customWidth="1"/>
    <col min="25" max="25" width="12.42578125" bestFit="1" customWidth="1"/>
    <col min="26" max="26" width="14" bestFit="1" customWidth="1"/>
    <col min="27" max="27" width="18.28515625" bestFit="1" customWidth="1"/>
    <col min="28" max="28" width="13.85546875" bestFit="1" customWidth="1"/>
    <col min="29" max="29" width="18" bestFit="1" customWidth="1"/>
  </cols>
  <sheetData>
    <row r="1" spans="1:29" ht="12.2" customHeight="1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1"/>
      <c r="P1" s="1"/>
      <c r="Q1" s="1"/>
      <c r="R1" s="2" t="s">
        <v>14</v>
      </c>
      <c r="S1" s="1"/>
      <c r="T1" s="2" t="s">
        <v>15</v>
      </c>
      <c r="U1" s="2" t="s">
        <v>16</v>
      </c>
      <c r="V1" s="2" t="s">
        <v>17</v>
      </c>
      <c r="W1" s="2" t="s">
        <v>18</v>
      </c>
      <c r="X1" s="2" t="s">
        <v>19</v>
      </c>
      <c r="Y1" s="2" t="s">
        <v>20</v>
      </c>
      <c r="Z1" s="2" t="s">
        <v>21</v>
      </c>
      <c r="AA1" s="2" t="s">
        <v>22</v>
      </c>
      <c r="AB1" s="2" t="s">
        <v>23</v>
      </c>
      <c r="AC1" s="2" t="s">
        <v>24</v>
      </c>
    </row>
    <row r="2" spans="1:29" ht="14.45" customHeight="1" x14ac:dyDescent="0.25">
      <c r="A2" s="4" t="s">
        <v>25</v>
      </c>
      <c r="B2" s="4" t="s">
        <v>139</v>
      </c>
      <c r="C2" s="4" t="s">
        <v>140</v>
      </c>
      <c r="D2" s="4" t="s">
        <v>28</v>
      </c>
      <c r="E2" s="4" t="s">
        <v>141</v>
      </c>
      <c r="F2" s="4" t="s">
        <v>142</v>
      </c>
      <c r="G2" s="4" t="s">
        <v>142</v>
      </c>
      <c r="H2" s="4" t="s">
        <v>143</v>
      </c>
      <c r="I2" s="4" t="s">
        <v>95</v>
      </c>
      <c r="J2" s="4" t="str">
        <f>"5996SB0001891"</f>
        <v>5996SB0001891</v>
      </c>
      <c r="K2" s="4" t="s">
        <v>144</v>
      </c>
      <c r="L2" s="4" t="str">
        <f>""</f>
        <v/>
      </c>
      <c r="M2" s="4" t="str">
        <f>""</f>
        <v/>
      </c>
      <c r="N2" s="4" t="s">
        <v>34</v>
      </c>
      <c r="O2" s="3"/>
      <c r="P2" s="3"/>
      <c r="Q2" s="3"/>
      <c r="R2" s="4" t="s">
        <v>35</v>
      </c>
      <c r="S2" s="3"/>
      <c r="T2" s="4" t="str">
        <f>"VZX6987V7"</f>
        <v>VZX6987V7</v>
      </c>
      <c r="U2" s="4" t="str">
        <f>"NCIA10298476"</f>
        <v>NCIA10298476</v>
      </c>
      <c r="V2" s="4" t="str">
        <f>"1003880"</f>
        <v>1003880</v>
      </c>
      <c r="W2" s="4" t="s">
        <v>36</v>
      </c>
      <c r="X2" s="4" t="str">
        <f t="shared" ref="X2:X8" si="0">"02MQ7"</f>
        <v>02MQ7</v>
      </c>
      <c r="Y2" s="4" t="str">
        <f>"10536-08002"</f>
        <v>10536-08002</v>
      </c>
      <c r="Z2" s="4" t="str">
        <f>""</f>
        <v/>
      </c>
      <c r="AA2" s="4" t="str">
        <f>""</f>
        <v/>
      </c>
      <c r="AB2" s="5">
        <v>43465</v>
      </c>
      <c r="AC2" s="6">
        <v>3118305904761900</v>
      </c>
    </row>
    <row r="3" spans="1:29" ht="14.45" customHeight="1" x14ac:dyDescent="0.25">
      <c r="A3" s="4" t="s">
        <v>25</v>
      </c>
      <c r="B3" s="4" t="s">
        <v>139</v>
      </c>
      <c r="C3" s="4" t="s">
        <v>140</v>
      </c>
      <c r="D3" s="4" t="s">
        <v>28</v>
      </c>
      <c r="E3" s="4" t="s">
        <v>141</v>
      </c>
      <c r="F3" s="4" t="s">
        <v>142</v>
      </c>
      <c r="G3" s="4" t="s">
        <v>142</v>
      </c>
      <c r="H3" s="4" t="s">
        <v>143</v>
      </c>
      <c r="I3" s="4" t="s">
        <v>131</v>
      </c>
      <c r="J3" s="4" t="str">
        <f>"7010SB0057675"</f>
        <v>7010SB0057675</v>
      </c>
      <c r="K3" s="4" t="s">
        <v>145</v>
      </c>
      <c r="L3" s="4" t="str">
        <f>""</f>
        <v/>
      </c>
      <c r="M3" s="4" t="str">
        <f>""</f>
        <v/>
      </c>
      <c r="N3" s="4" t="s">
        <v>34</v>
      </c>
      <c r="O3" s="3"/>
      <c r="P3" s="3"/>
      <c r="Q3" s="3"/>
      <c r="R3" s="4" t="s">
        <v>35</v>
      </c>
      <c r="S3" s="3"/>
      <c r="T3" s="4" t="str">
        <f>""</f>
        <v/>
      </c>
      <c r="U3" s="4" t="str">
        <f>"NCIA12003350"</f>
        <v>NCIA12003350</v>
      </c>
      <c r="V3" s="4" t="str">
        <f>""</f>
        <v/>
      </c>
      <c r="W3" s="4" t="s">
        <v>36</v>
      </c>
      <c r="X3" s="4" t="str">
        <f t="shared" si="0"/>
        <v>02MQ7</v>
      </c>
      <c r="Y3" s="4" t="str">
        <f>"TSGT 2GEN"</f>
        <v>TSGT 2GEN</v>
      </c>
      <c r="Z3" s="4" t="str">
        <f>""</f>
        <v/>
      </c>
      <c r="AA3" s="4" t="str">
        <f>""</f>
        <v/>
      </c>
      <c r="AB3" s="5">
        <v>43574</v>
      </c>
      <c r="AC3" s="4">
        <v>0</v>
      </c>
    </row>
    <row r="4" spans="1:29" ht="14.45" customHeight="1" x14ac:dyDescent="0.25">
      <c r="A4" s="4" t="s">
        <v>25</v>
      </c>
      <c r="B4" s="4" t="s">
        <v>139</v>
      </c>
      <c r="C4" s="4" t="s">
        <v>140</v>
      </c>
      <c r="D4" s="4" t="s">
        <v>28</v>
      </c>
      <c r="E4" s="4" t="s">
        <v>141</v>
      </c>
      <c r="F4" s="4" t="s">
        <v>142</v>
      </c>
      <c r="G4" s="4" t="s">
        <v>142</v>
      </c>
      <c r="H4" s="4" t="s">
        <v>143</v>
      </c>
      <c r="I4" s="4" t="s">
        <v>61</v>
      </c>
      <c r="J4" s="4" t="str">
        <f>"5996SB0002404"</f>
        <v>5996SB0002404</v>
      </c>
      <c r="K4" s="4" t="s">
        <v>87</v>
      </c>
      <c r="L4" s="4" t="str">
        <f>""</f>
        <v/>
      </c>
      <c r="M4" s="4" t="str">
        <f>""</f>
        <v/>
      </c>
      <c r="N4" s="4" t="s">
        <v>34</v>
      </c>
      <c r="O4" s="3"/>
      <c r="P4" s="3"/>
      <c r="Q4" s="3"/>
      <c r="R4" s="4" t="s">
        <v>35</v>
      </c>
      <c r="S4" s="3"/>
      <c r="T4" s="4" t="str">
        <f>"10537-05025"</f>
        <v>10537-05025</v>
      </c>
      <c r="U4" s="4" t="str">
        <f>"01-114178"</f>
        <v>01-114178</v>
      </c>
      <c r="V4" s="4" t="str">
        <f>"1000646"</f>
        <v>1000646</v>
      </c>
      <c r="W4" s="4" t="s">
        <v>146</v>
      </c>
      <c r="X4" s="4" t="str">
        <f t="shared" si="0"/>
        <v>02MQ7</v>
      </c>
      <c r="Y4" s="4" t="str">
        <f>"10537-05025"</f>
        <v>10537-05025</v>
      </c>
      <c r="Z4" s="4" t="str">
        <f>""</f>
        <v/>
      </c>
      <c r="AA4" s="4" t="str">
        <f>"NCIA12003350"</f>
        <v>NCIA12003350</v>
      </c>
      <c r="AB4" s="5">
        <v>43465</v>
      </c>
      <c r="AC4" s="4">
        <v>0</v>
      </c>
    </row>
    <row r="5" spans="1:29" ht="14.45" customHeight="1" x14ac:dyDescent="0.25">
      <c r="A5" s="4" t="s">
        <v>25</v>
      </c>
      <c r="B5" s="4" t="s">
        <v>139</v>
      </c>
      <c r="C5" s="4" t="s">
        <v>140</v>
      </c>
      <c r="D5" s="4" t="s">
        <v>28</v>
      </c>
      <c r="E5" s="4" t="s">
        <v>141</v>
      </c>
      <c r="F5" s="4" t="s">
        <v>142</v>
      </c>
      <c r="G5" s="4" t="s">
        <v>142</v>
      </c>
      <c r="H5" s="4" t="s">
        <v>143</v>
      </c>
      <c r="I5" s="4" t="s">
        <v>131</v>
      </c>
      <c r="J5" s="4" t="str">
        <f>"7010SB0057676"</f>
        <v>7010SB0057676</v>
      </c>
      <c r="K5" s="4" t="s">
        <v>147</v>
      </c>
      <c r="L5" s="4" t="str">
        <f>""</f>
        <v/>
      </c>
      <c r="M5" s="4" t="str">
        <f>""</f>
        <v/>
      </c>
      <c r="N5" s="4" t="s">
        <v>34</v>
      </c>
      <c r="O5" s="3"/>
      <c r="P5" s="3"/>
      <c r="Q5" s="3"/>
      <c r="R5" s="4" t="s">
        <v>35</v>
      </c>
      <c r="S5" s="3"/>
      <c r="T5" s="4" t="str">
        <f>""</f>
        <v/>
      </c>
      <c r="U5" s="4" t="str">
        <f>"NCIA12003356"</f>
        <v>NCIA12003356</v>
      </c>
      <c r="V5" s="4" t="str">
        <f>""</f>
        <v/>
      </c>
      <c r="W5" s="4" t="s">
        <v>146</v>
      </c>
      <c r="X5" s="4" t="str">
        <f t="shared" si="0"/>
        <v>02MQ7</v>
      </c>
      <c r="Y5" s="4" t="str">
        <f>"TSGT 2GEN CIS"</f>
        <v>TSGT 2GEN CIS</v>
      </c>
      <c r="Z5" s="4" t="str">
        <f>""</f>
        <v/>
      </c>
      <c r="AA5" s="4" t="str">
        <f>"NCIA12003350"</f>
        <v>NCIA12003350</v>
      </c>
      <c r="AB5" s="5">
        <v>43574</v>
      </c>
      <c r="AC5" s="4">
        <v>0</v>
      </c>
    </row>
    <row r="6" spans="1:29" ht="14.45" customHeight="1" x14ac:dyDescent="0.25">
      <c r="A6" s="4" t="s">
        <v>25</v>
      </c>
      <c r="B6" s="4" t="s">
        <v>139</v>
      </c>
      <c r="C6" s="4" t="s">
        <v>140</v>
      </c>
      <c r="D6" s="4" t="s">
        <v>28</v>
      </c>
      <c r="E6" s="4" t="s">
        <v>141</v>
      </c>
      <c r="F6" s="4" t="s">
        <v>142</v>
      </c>
      <c r="G6" s="4" t="s">
        <v>142</v>
      </c>
      <c r="H6" s="4" t="s">
        <v>143</v>
      </c>
      <c r="I6" s="4" t="s">
        <v>131</v>
      </c>
      <c r="J6" s="4" t="str">
        <f>"7010SB0057677"</f>
        <v>7010SB0057677</v>
      </c>
      <c r="K6" s="4" t="s">
        <v>148</v>
      </c>
      <c r="L6" s="4" t="str">
        <f>""</f>
        <v/>
      </c>
      <c r="M6" s="4" t="str">
        <f>""</f>
        <v/>
      </c>
      <c r="N6" s="4" t="s">
        <v>34</v>
      </c>
      <c r="O6" s="3"/>
      <c r="P6" s="3"/>
      <c r="Q6" s="3"/>
      <c r="R6" s="4" t="s">
        <v>35</v>
      </c>
      <c r="S6" s="3"/>
      <c r="T6" s="4" t="str">
        <f>""</f>
        <v/>
      </c>
      <c r="U6" s="4" t="str">
        <f>"NCIA12003362"</f>
        <v>NCIA12003362</v>
      </c>
      <c r="V6" s="4" t="str">
        <f>""</f>
        <v/>
      </c>
      <c r="W6" s="4" t="s">
        <v>146</v>
      </c>
      <c r="X6" s="4" t="str">
        <f t="shared" si="0"/>
        <v>02MQ7</v>
      </c>
      <c r="Y6" s="4" t="str">
        <f>"TSGT 2GEN ANT"</f>
        <v>TSGT 2GEN ANT</v>
      </c>
      <c r="Z6" s="4" t="str">
        <f>""</f>
        <v/>
      </c>
      <c r="AA6" s="4" t="str">
        <f>"NCIA12003350"</f>
        <v>NCIA12003350</v>
      </c>
      <c r="AB6" s="5">
        <v>43574</v>
      </c>
      <c r="AC6" s="4">
        <v>0</v>
      </c>
    </row>
    <row r="7" spans="1:29" ht="14.45" customHeight="1" x14ac:dyDescent="0.25">
      <c r="A7" s="4" t="s">
        <v>25</v>
      </c>
      <c r="B7" s="4" t="s">
        <v>139</v>
      </c>
      <c r="C7" s="4" t="s">
        <v>140</v>
      </c>
      <c r="D7" s="4" t="s">
        <v>28</v>
      </c>
      <c r="E7" s="4" t="s">
        <v>141</v>
      </c>
      <c r="F7" s="4" t="s">
        <v>142</v>
      </c>
      <c r="G7" s="4" t="s">
        <v>142</v>
      </c>
      <c r="H7" s="4" t="s">
        <v>143</v>
      </c>
      <c r="I7" s="4" t="s">
        <v>131</v>
      </c>
      <c r="J7" s="4" t="str">
        <f>"7010SB0057678"</f>
        <v>7010SB0057678</v>
      </c>
      <c r="K7" s="4" t="s">
        <v>149</v>
      </c>
      <c r="L7" s="4" t="str">
        <f>""</f>
        <v/>
      </c>
      <c r="M7" s="4" t="str">
        <f>""</f>
        <v/>
      </c>
      <c r="N7" s="4" t="s">
        <v>34</v>
      </c>
      <c r="O7" s="3"/>
      <c r="P7" s="3"/>
      <c r="Q7" s="3"/>
      <c r="R7" s="4" t="s">
        <v>35</v>
      </c>
      <c r="S7" s="3"/>
      <c r="T7" s="4" t="str">
        <f>""</f>
        <v/>
      </c>
      <c r="U7" s="4" t="str">
        <f>"NCIA12003368"</f>
        <v>NCIA12003368</v>
      </c>
      <c r="V7" s="4" t="str">
        <f>""</f>
        <v/>
      </c>
      <c r="W7" s="4" t="s">
        <v>146</v>
      </c>
      <c r="X7" s="4" t="str">
        <f t="shared" si="0"/>
        <v>02MQ7</v>
      </c>
      <c r="Y7" s="4" t="str">
        <f>"TSGT 2GEN GEN"</f>
        <v>TSGT 2GEN GEN</v>
      </c>
      <c r="Z7" s="4" t="str">
        <f>""</f>
        <v/>
      </c>
      <c r="AA7" s="4" t="str">
        <f>"NCIA12003350"</f>
        <v>NCIA12003350</v>
      </c>
      <c r="AB7" s="5">
        <v>43574</v>
      </c>
      <c r="AC7" s="4">
        <v>0</v>
      </c>
    </row>
    <row r="8" spans="1:29" ht="14.45" customHeight="1" x14ac:dyDescent="0.25">
      <c r="A8" s="4" t="s">
        <v>25</v>
      </c>
      <c r="B8" s="4" t="s">
        <v>139</v>
      </c>
      <c r="C8" s="4" t="s">
        <v>140</v>
      </c>
      <c r="D8" s="4" t="s">
        <v>28</v>
      </c>
      <c r="E8" s="4" t="s">
        <v>141</v>
      </c>
      <c r="F8" s="4" t="s">
        <v>142</v>
      </c>
      <c r="G8" s="4" t="s">
        <v>142</v>
      </c>
      <c r="H8" s="4" t="s">
        <v>143</v>
      </c>
      <c r="I8" s="4" t="s">
        <v>131</v>
      </c>
      <c r="J8" s="4" t="str">
        <f>"7010SB0057679"</f>
        <v>7010SB0057679</v>
      </c>
      <c r="K8" s="4" t="s">
        <v>150</v>
      </c>
      <c r="L8" s="4" t="str">
        <f>""</f>
        <v/>
      </c>
      <c r="M8" s="4" t="str">
        <f>""</f>
        <v/>
      </c>
      <c r="N8" s="4" t="s">
        <v>34</v>
      </c>
      <c r="O8" s="3"/>
      <c r="P8" s="3"/>
      <c r="Q8" s="3"/>
      <c r="R8" s="4" t="s">
        <v>35</v>
      </c>
      <c r="S8" s="3"/>
      <c r="T8" s="4" t="str">
        <f>""</f>
        <v/>
      </c>
      <c r="U8" s="4" t="str">
        <f>"NCIA12003374"</f>
        <v>NCIA12003374</v>
      </c>
      <c r="V8" s="4" t="str">
        <f>""</f>
        <v/>
      </c>
      <c r="W8" s="4" t="s">
        <v>146</v>
      </c>
      <c r="X8" s="4" t="str">
        <f t="shared" si="0"/>
        <v>02MQ7</v>
      </c>
      <c r="Y8" s="4" t="str">
        <f>"TSGT 2GEN ACC"</f>
        <v>TSGT 2GEN ACC</v>
      </c>
      <c r="Z8" s="4" t="str">
        <f>""</f>
        <v/>
      </c>
      <c r="AA8" s="4" t="str">
        <f>"NCIA12003350"</f>
        <v>NCIA12003350</v>
      </c>
      <c r="AB8" s="5">
        <v>43574</v>
      </c>
      <c r="AC8" s="4">
        <v>0</v>
      </c>
    </row>
    <row r="9" spans="1:29" ht="14.45" customHeight="1" x14ac:dyDescent="0.25">
      <c r="A9" s="4" t="s">
        <v>25</v>
      </c>
      <c r="B9" s="4" t="s">
        <v>139</v>
      </c>
      <c r="C9" s="4" t="s">
        <v>140</v>
      </c>
      <c r="D9" s="4" t="s">
        <v>28</v>
      </c>
      <c r="E9" s="4" t="s">
        <v>141</v>
      </c>
      <c r="F9" s="4" t="s">
        <v>142</v>
      </c>
      <c r="G9" s="4" t="s">
        <v>142</v>
      </c>
      <c r="H9" s="4" t="s">
        <v>143</v>
      </c>
      <c r="I9" s="4" t="s">
        <v>151</v>
      </c>
      <c r="J9" s="4" t="str">
        <f>"4130SB0003476"</f>
        <v>4130SB0003476</v>
      </c>
      <c r="K9" s="4" t="s">
        <v>152</v>
      </c>
      <c r="L9" s="4" t="str">
        <f>""</f>
        <v/>
      </c>
      <c r="M9" s="4" t="str">
        <f>""</f>
        <v/>
      </c>
      <c r="N9" s="4" t="s">
        <v>34</v>
      </c>
      <c r="O9" s="3"/>
      <c r="P9" s="3"/>
      <c r="Q9" s="3"/>
      <c r="R9" s="4" t="s">
        <v>35</v>
      </c>
      <c r="S9" s="3"/>
      <c r="T9" s="4" t="str">
        <f>"2705470000"</f>
        <v>2705470000</v>
      </c>
      <c r="U9" s="4" t="str">
        <f>"NCIAX11170320"</f>
        <v>NCIAX11170320</v>
      </c>
      <c r="V9" s="4" t="str">
        <f>""</f>
        <v/>
      </c>
      <c r="W9" s="4" t="s">
        <v>36</v>
      </c>
      <c r="X9" s="4" t="str">
        <f>"0177B"</f>
        <v>0177B</v>
      </c>
      <c r="Y9" s="4" t="str">
        <f>"0787020001500"</f>
        <v>0787020001500</v>
      </c>
      <c r="Z9" s="4" t="str">
        <f>""</f>
        <v/>
      </c>
      <c r="AA9" s="4" t="str">
        <f>""</f>
        <v/>
      </c>
      <c r="AB9" s="5">
        <v>43465</v>
      </c>
      <c r="AC9" s="4">
        <v>0</v>
      </c>
    </row>
    <row r="10" spans="1:29" ht="14.45" customHeight="1" x14ac:dyDescent="0.25">
      <c r="A10" s="4" t="s">
        <v>25</v>
      </c>
      <c r="B10" s="4" t="s">
        <v>139</v>
      </c>
      <c r="C10" s="4" t="s">
        <v>140</v>
      </c>
      <c r="D10" s="4" t="s">
        <v>28</v>
      </c>
      <c r="E10" s="4" t="s">
        <v>141</v>
      </c>
      <c r="F10" s="4" t="s">
        <v>142</v>
      </c>
      <c r="G10" s="4" t="s">
        <v>142</v>
      </c>
      <c r="H10" s="4" t="s">
        <v>143</v>
      </c>
      <c r="I10" s="4" t="s">
        <v>151</v>
      </c>
      <c r="J10" s="4" t="str">
        <f>"4130SB0003476"</f>
        <v>4130SB0003476</v>
      </c>
      <c r="K10" s="4" t="s">
        <v>152</v>
      </c>
      <c r="L10" s="4" t="str">
        <f>""</f>
        <v/>
      </c>
      <c r="M10" s="4" t="str">
        <f>""</f>
        <v/>
      </c>
      <c r="N10" s="4" t="s">
        <v>34</v>
      </c>
      <c r="O10" s="3"/>
      <c r="P10" s="3"/>
      <c r="Q10" s="3"/>
      <c r="R10" s="4" t="s">
        <v>35</v>
      </c>
      <c r="S10" s="3"/>
      <c r="T10" s="4" t="str">
        <f>"2705470000"</f>
        <v>2705470000</v>
      </c>
      <c r="U10" s="4" t="str">
        <f>"NCIAX11170321"</f>
        <v>NCIAX11170321</v>
      </c>
      <c r="V10" s="4" t="str">
        <f>""</f>
        <v/>
      </c>
      <c r="W10" s="4" t="s">
        <v>36</v>
      </c>
      <c r="X10" s="4" t="str">
        <f>"0177B"</f>
        <v>0177B</v>
      </c>
      <c r="Y10" s="4" t="str">
        <f>"0787020001500"</f>
        <v>0787020001500</v>
      </c>
      <c r="Z10" s="4" t="str">
        <f>""</f>
        <v/>
      </c>
      <c r="AA10" s="4" t="str">
        <f>""</f>
        <v/>
      </c>
      <c r="AB10" s="5">
        <v>43465</v>
      </c>
      <c r="AC10" s="4">
        <v>0</v>
      </c>
    </row>
    <row r="11" spans="1:29" ht="14.45" customHeight="1" x14ac:dyDescent="0.25">
      <c r="A11" s="4" t="s">
        <v>25</v>
      </c>
      <c r="B11" s="4" t="s">
        <v>139</v>
      </c>
      <c r="C11" s="4" t="s">
        <v>140</v>
      </c>
      <c r="D11" s="4" t="s">
        <v>28</v>
      </c>
      <c r="E11" s="4" t="s">
        <v>141</v>
      </c>
      <c r="F11" s="4" t="s">
        <v>142</v>
      </c>
      <c r="G11" s="4" t="s">
        <v>142</v>
      </c>
      <c r="H11" s="4" t="s">
        <v>143</v>
      </c>
      <c r="I11" s="4" t="s">
        <v>151</v>
      </c>
      <c r="J11" s="4" t="str">
        <f>"4130SB0003527"</f>
        <v>4130SB0003527</v>
      </c>
      <c r="K11" s="4" t="s">
        <v>153</v>
      </c>
      <c r="L11" s="4" t="str">
        <f>""</f>
        <v/>
      </c>
      <c r="M11" s="4" t="str">
        <f>""</f>
        <v/>
      </c>
      <c r="N11" s="4" t="s">
        <v>34</v>
      </c>
      <c r="O11" s="3"/>
      <c r="P11" s="3"/>
      <c r="Q11" s="3"/>
      <c r="R11" s="4" t="s">
        <v>35</v>
      </c>
      <c r="S11" s="3"/>
      <c r="T11" s="4" t="str">
        <f>"0911720127"</f>
        <v>0911720127</v>
      </c>
      <c r="U11" s="4" t="str">
        <f>"03-116831"</f>
        <v>03-116831</v>
      </c>
      <c r="V11" s="4" t="str">
        <f>"001"</f>
        <v>001</v>
      </c>
      <c r="W11" s="4" t="s">
        <v>36</v>
      </c>
      <c r="X11" s="4" t="str">
        <f>"0076B"</f>
        <v>0076B</v>
      </c>
      <c r="Y11" s="4" t="str">
        <f>"0911720127"</f>
        <v>0911720127</v>
      </c>
      <c r="Z11" s="4" t="str">
        <f>""</f>
        <v/>
      </c>
      <c r="AA11" s="4" t="str">
        <f>""</f>
        <v/>
      </c>
      <c r="AB11" s="5">
        <v>43465</v>
      </c>
      <c r="AC11" s="4">
        <v>0</v>
      </c>
    </row>
    <row r="12" spans="1:29" ht="14.45" customHeight="1" x14ac:dyDescent="0.25">
      <c r="A12" s="4" t="s">
        <v>25</v>
      </c>
      <c r="B12" s="4" t="s">
        <v>139</v>
      </c>
      <c r="C12" s="4" t="s">
        <v>140</v>
      </c>
      <c r="D12" s="4" t="s">
        <v>28</v>
      </c>
      <c r="E12" s="4" t="s">
        <v>141</v>
      </c>
      <c r="F12" s="4" t="s">
        <v>142</v>
      </c>
      <c r="G12" s="4" t="s">
        <v>142</v>
      </c>
      <c r="H12" s="4" t="s">
        <v>143</v>
      </c>
      <c r="I12" s="4" t="s">
        <v>151</v>
      </c>
      <c r="J12" s="4" t="str">
        <f>"4130SB0003527"</f>
        <v>4130SB0003527</v>
      </c>
      <c r="K12" s="4" t="s">
        <v>153</v>
      </c>
      <c r="L12" s="4" t="str">
        <f>""</f>
        <v/>
      </c>
      <c r="M12" s="4" t="str">
        <f>""</f>
        <v/>
      </c>
      <c r="N12" s="4" t="s">
        <v>34</v>
      </c>
      <c r="O12" s="3"/>
      <c r="P12" s="3"/>
      <c r="Q12" s="3"/>
      <c r="R12" s="4" t="s">
        <v>35</v>
      </c>
      <c r="S12" s="3"/>
      <c r="T12" s="4" t="str">
        <f>"0911720127"</f>
        <v>0911720127</v>
      </c>
      <c r="U12" s="4" t="str">
        <f>"03-116832"</f>
        <v>03-116832</v>
      </c>
      <c r="V12" s="4" t="str">
        <f>"002"</f>
        <v>002</v>
      </c>
      <c r="W12" s="4" t="s">
        <v>36</v>
      </c>
      <c r="X12" s="4" t="str">
        <f>"0076B"</f>
        <v>0076B</v>
      </c>
      <c r="Y12" s="4" t="str">
        <f>"0911720127"</f>
        <v>0911720127</v>
      </c>
      <c r="Z12" s="4" t="str">
        <f>""</f>
        <v/>
      </c>
      <c r="AA12" s="4" t="str">
        <f>""</f>
        <v/>
      </c>
      <c r="AB12" s="5">
        <v>43465</v>
      </c>
      <c r="AC12" s="4">
        <v>0</v>
      </c>
    </row>
    <row r="13" spans="1:29" ht="14.45" customHeight="1" x14ac:dyDescent="0.25">
      <c r="A13" s="4" t="s">
        <v>25</v>
      </c>
      <c r="B13" s="4" t="s">
        <v>139</v>
      </c>
      <c r="C13" s="4" t="s">
        <v>140</v>
      </c>
      <c r="D13" s="4" t="s">
        <v>28</v>
      </c>
      <c r="E13" s="4" t="s">
        <v>141</v>
      </c>
      <c r="F13" s="4" t="s">
        <v>142</v>
      </c>
      <c r="G13" s="4" t="s">
        <v>142</v>
      </c>
      <c r="H13" s="4" t="s">
        <v>143</v>
      </c>
      <c r="I13" s="4" t="s">
        <v>154</v>
      </c>
      <c r="J13" s="4" t="str">
        <f>"4130SB0036578"</f>
        <v>4130SB0036578</v>
      </c>
      <c r="K13" s="4" t="s">
        <v>155</v>
      </c>
      <c r="L13" s="4" t="str">
        <f>""</f>
        <v/>
      </c>
      <c r="M13" s="4" t="str">
        <f>""</f>
        <v/>
      </c>
      <c r="N13" s="4" t="s">
        <v>34</v>
      </c>
      <c r="O13" s="3"/>
      <c r="P13" s="3"/>
      <c r="Q13" s="3"/>
      <c r="R13" s="4" t="s">
        <v>35</v>
      </c>
      <c r="S13" s="3"/>
      <c r="T13" s="4" t="str">
        <f>""</f>
        <v/>
      </c>
      <c r="U13" s="4" t="str">
        <f>"NCIA10265129"</f>
        <v>NCIA10265129</v>
      </c>
      <c r="V13" s="4" t="str">
        <f>"1690802312"</f>
        <v>1690802312</v>
      </c>
      <c r="W13" s="4" t="s">
        <v>36</v>
      </c>
      <c r="X13" s="4" t="str">
        <f>"MC1127"</f>
        <v>MC1127</v>
      </c>
      <c r="Y13" s="4" t="str">
        <f>"2CES-4Y"</f>
        <v>2CES-4Y</v>
      </c>
      <c r="Z13" s="4" t="str">
        <f>""</f>
        <v/>
      </c>
      <c r="AA13" s="4" t="str">
        <f>""</f>
        <v/>
      </c>
      <c r="AB13" s="5">
        <v>43465</v>
      </c>
      <c r="AC13" s="4">
        <v>1303.2</v>
      </c>
    </row>
    <row r="14" spans="1:29" ht="14.45" customHeight="1" x14ac:dyDescent="0.25">
      <c r="A14" s="4" t="s">
        <v>25</v>
      </c>
      <c r="B14" s="4" t="s">
        <v>139</v>
      </c>
      <c r="C14" s="4" t="s">
        <v>140</v>
      </c>
      <c r="D14" s="4" t="s">
        <v>28</v>
      </c>
      <c r="E14" s="4" t="s">
        <v>141</v>
      </c>
      <c r="F14" s="4" t="s">
        <v>142</v>
      </c>
      <c r="G14" s="4" t="s">
        <v>142</v>
      </c>
      <c r="H14" s="4" t="s">
        <v>143</v>
      </c>
      <c r="I14" s="4" t="s">
        <v>154</v>
      </c>
      <c r="J14" s="4" t="str">
        <f>"4130SB0036578"</f>
        <v>4130SB0036578</v>
      </c>
      <c r="K14" s="4" t="s">
        <v>155</v>
      </c>
      <c r="L14" s="4" t="str">
        <f>""</f>
        <v/>
      </c>
      <c r="M14" s="4" t="str">
        <f>""</f>
        <v/>
      </c>
      <c r="N14" s="4" t="s">
        <v>34</v>
      </c>
      <c r="O14" s="3"/>
      <c r="P14" s="3"/>
      <c r="Q14" s="3"/>
      <c r="R14" s="4" t="s">
        <v>35</v>
      </c>
      <c r="S14" s="3"/>
      <c r="T14" s="4" t="str">
        <f>""</f>
        <v/>
      </c>
      <c r="U14" s="4" t="str">
        <f>"NCIA10265132"</f>
        <v>NCIA10265132</v>
      </c>
      <c r="V14" s="4" t="str">
        <f>"1690802311"</f>
        <v>1690802311</v>
      </c>
      <c r="W14" s="4" t="s">
        <v>36</v>
      </c>
      <c r="X14" s="4" t="str">
        <f>"MC1127"</f>
        <v>MC1127</v>
      </c>
      <c r="Y14" s="4" t="str">
        <f>"2CES-4Y"</f>
        <v>2CES-4Y</v>
      </c>
      <c r="Z14" s="4" t="str">
        <f>""</f>
        <v/>
      </c>
      <c r="AA14" s="4" t="str">
        <f>""</f>
        <v/>
      </c>
      <c r="AB14" s="5">
        <v>43465</v>
      </c>
      <c r="AC14" s="4">
        <v>1303.2</v>
      </c>
    </row>
    <row r="15" spans="1:29" ht="14.45" customHeight="1" x14ac:dyDescent="0.25">
      <c r="A15" s="4" t="s">
        <v>25</v>
      </c>
      <c r="B15" s="4" t="s">
        <v>139</v>
      </c>
      <c r="C15" s="4" t="s">
        <v>140</v>
      </c>
      <c r="D15" s="4" t="s">
        <v>28</v>
      </c>
      <c r="E15" s="4" t="s">
        <v>141</v>
      </c>
      <c r="F15" s="4" t="s">
        <v>142</v>
      </c>
      <c r="G15" s="4" t="s">
        <v>142</v>
      </c>
      <c r="H15" s="4" t="s">
        <v>143</v>
      </c>
      <c r="I15" s="4" t="s">
        <v>156</v>
      </c>
      <c r="J15" s="4" t="str">
        <f>"4440SB0004671"</f>
        <v>4440SB0004671</v>
      </c>
      <c r="K15" s="4" t="s">
        <v>157</v>
      </c>
      <c r="L15" s="4" t="str">
        <f>""</f>
        <v/>
      </c>
      <c r="M15" s="4" t="str">
        <f>""</f>
        <v/>
      </c>
      <c r="N15" s="4" t="s">
        <v>34</v>
      </c>
      <c r="O15" s="3"/>
      <c r="P15" s="3"/>
      <c r="Q15" s="3"/>
      <c r="R15" s="4" t="s">
        <v>35</v>
      </c>
      <c r="S15" s="3"/>
      <c r="T15" s="4" t="str">
        <f>"4440151630352"</f>
        <v>4440151630352</v>
      </c>
      <c r="U15" s="4" t="str">
        <f>"NCIAX11170551"</f>
        <v>NCIAX11170551</v>
      </c>
      <c r="V15" s="4" t="str">
        <f>""</f>
        <v/>
      </c>
      <c r="W15" s="4" t="s">
        <v>36</v>
      </c>
      <c r="X15" s="4" t="str">
        <f>"A4685"</f>
        <v>A4685</v>
      </c>
      <c r="Y15" s="4" t="str">
        <f>"C10500.019"</f>
        <v>C10500.019</v>
      </c>
      <c r="Z15" s="4" t="str">
        <f>""</f>
        <v/>
      </c>
      <c r="AA15" s="4" t="str">
        <f>""</f>
        <v/>
      </c>
      <c r="AB15" s="5">
        <v>43465</v>
      </c>
      <c r="AC15" s="4">
        <v>0</v>
      </c>
    </row>
    <row r="16" spans="1:29" ht="14.45" customHeight="1" x14ac:dyDescent="0.25">
      <c r="A16" s="4" t="s">
        <v>25</v>
      </c>
      <c r="B16" s="4" t="s">
        <v>139</v>
      </c>
      <c r="C16" s="4" t="s">
        <v>140</v>
      </c>
      <c r="D16" s="4" t="s">
        <v>28</v>
      </c>
      <c r="E16" s="4" t="s">
        <v>141</v>
      </c>
      <c r="F16" s="4" t="s">
        <v>142</v>
      </c>
      <c r="G16" s="4" t="s">
        <v>142</v>
      </c>
      <c r="H16" s="4" t="s">
        <v>143</v>
      </c>
      <c r="I16" s="4" t="s">
        <v>158</v>
      </c>
      <c r="J16" s="4" t="str">
        <f>"5440SB0018399"</f>
        <v>5440SB0018399</v>
      </c>
      <c r="K16" s="4" t="s">
        <v>159</v>
      </c>
      <c r="L16" s="4" t="str">
        <f>""</f>
        <v/>
      </c>
      <c r="M16" s="4" t="str">
        <f>""</f>
        <v/>
      </c>
      <c r="N16" s="4" t="s">
        <v>34</v>
      </c>
      <c r="O16" s="3"/>
      <c r="P16" s="3"/>
      <c r="Q16" s="3"/>
      <c r="R16" s="4" t="s">
        <v>35</v>
      </c>
      <c r="S16" s="3"/>
      <c r="T16" s="4" t="str">
        <f>"42395"</f>
        <v>42395</v>
      </c>
      <c r="U16" s="4" t="str">
        <f>"03-127761"</f>
        <v>03-127761</v>
      </c>
      <c r="V16" s="4" t="str">
        <f>"001"</f>
        <v>001</v>
      </c>
      <c r="W16" s="4" t="s">
        <v>36</v>
      </c>
      <c r="X16" s="4" t="str">
        <f>"H0U85"</f>
        <v>H0U85</v>
      </c>
      <c r="Y16" s="4" t="str">
        <f>"42395"</f>
        <v>42395</v>
      </c>
      <c r="Z16" s="4" t="str">
        <f>""</f>
        <v/>
      </c>
      <c r="AA16" s="4" t="str">
        <f>""</f>
        <v/>
      </c>
      <c r="AB16" s="5">
        <v>43465</v>
      </c>
      <c r="AC16" s="4">
        <v>0</v>
      </c>
    </row>
    <row r="17" spans="1:29" ht="14.45" customHeight="1" x14ac:dyDescent="0.25">
      <c r="A17" s="4" t="s">
        <v>25</v>
      </c>
      <c r="B17" s="4" t="s">
        <v>139</v>
      </c>
      <c r="C17" s="4" t="s">
        <v>140</v>
      </c>
      <c r="D17" s="4" t="s">
        <v>28</v>
      </c>
      <c r="E17" s="4" t="s">
        <v>141</v>
      </c>
      <c r="F17" s="4" t="s">
        <v>142</v>
      </c>
      <c r="G17" s="4" t="s">
        <v>142</v>
      </c>
      <c r="H17" s="4" t="s">
        <v>143</v>
      </c>
      <c r="I17" s="4" t="s">
        <v>42</v>
      </c>
      <c r="J17" s="4" t="str">
        <f>"5895SB0001941"</f>
        <v>5895SB0001941</v>
      </c>
      <c r="K17" s="4" t="s">
        <v>43</v>
      </c>
      <c r="L17" s="4" t="str">
        <f>""</f>
        <v/>
      </c>
      <c r="M17" s="4" t="str">
        <f>""</f>
        <v/>
      </c>
      <c r="N17" s="4" t="s">
        <v>34</v>
      </c>
      <c r="O17" s="3"/>
      <c r="P17" s="3"/>
      <c r="Q17" s="3"/>
      <c r="R17" s="4" t="s">
        <v>35</v>
      </c>
      <c r="S17" s="3"/>
      <c r="T17" s="4" t="str">
        <f>"5895145560369"</f>
        <v>5895145560369</v>
      </c>
      <c r="U17" s="4" t="str">
        <f>"03-123672"</f>
        <v>03-123672</v>
      </c>
      <c r="V17" s="4" t="str">
        <f>"61936039AA00031"</f>
        <v>61936039AA00031</v>
      </c>
      <c r="W17" s="4" t="s">
        <v>36</v>
      </c>
      <c r="X17" s="4" t="str">
        <f>"F0057"</f>
        <v>F0057</v>
      </c>
      <c r="Y17" s="4" t="str">
        <f>"61936039AA"</f>
        <v>61936039AA</v>
      </c>
      <c r="Z17" s="4" t="str">
        <f>""</f>
        <v/>
      </c>
      <c r="AA17" s="4" t="str">
        <f>""</f>
        <v/>
      </c>
      <c r="AB17" s="5">
        <v>43465</v>
      </c>
      <c r="AC17" s="4">
        <v>0</v>
      </c>
    </row>
    <row r="18" spans="1:29" ht="14.45" customHeight="1" x14ac:dyDescent="0.25">
      <c r="A18" s="4" t="s">
        <v>25</v>
      </c>
      <c r="B18" s="4" t="s">
        <v>139</v>
      </c>
      <c r="C18" s="4" t="s">
        <v>140</v>
      </c>
      <c r="D18" s="4" t="s">
        <v>28</v>
      </c>
      <c r="E18" s="4" t="s">
        <v>141</v>
      </c>
      <c r="F18" s="4" t="s">
        <v>142</v>
      </c>
      <c r="G18" s="4" t="s">
        <v>142</v>
      </c>
      <c r="H18" s="4" t="s">
        <v>143</v>
      </c>
      <c r="I18" s="4" t="s">
        <v>160</v>
      </c>
      <c r="J18" s="4" t="str">
        <f>"5895SB0002335"</f>
        <v>5895SB0002335</v>
      </c>
      <c r="K18" s="4" t="s">
        <v>161</v>
      </c>
      <c r="L18" s="4" t="str">
        <f>""</f>
        <v/>
      </c>
      <c r="M18" s="4" t="str">
        <f>""</f>
        <v/>
      </c>
      <c r="N18" s="4" t="s">
        <v>34</v>
      </c>
      <c r="O18" s="3"/>
      <c r="P18" s="3"/>
      <c r="Q18" s="3"/>
      <c r="R18" s="4" t="s">
        <v>35</v>
      </c>
      <c r="S18" s="3"/>
      <c r="T18" s="4" t="str">
        <f>"5895151634666"</f>
        <v>5895151634666</v>
      </c>
      <c r="U18" s="4" t="str">
        <f>"NCIA10143930"</f>
        <v>NCIA10143930</v>
      </c>
      <c r="V18" s="4" t="str">
        <f>"O10X"</f>
        <v>O10X</v>
      </c>
      <c r="W18" s="4" t="s">
        <v>36</v>
      </c>
      <c r="X18" s="4" t="str">
        <f>"A3682"</f>
        <v>A3682</v>
      </c>
      <c r="Y18" s="4" t="str">
        <f>"825-4012-001"</f>
        <v>825-4012-001</v>
      </c>
      <c r="Z18" s="4" t="str">
        <f>""</f>
        <v/>
      </c>
      <c r="AA18" s="4" t="str">
        <f>""</f>
        <v/>
      </c>
      <c r="AB18" s="5">
        <v>43465</v>
      </c>
      <c r="AC18" s="4">
        <v>0</v>
      </c>
    </row>
    <row r="19" spans="1:29" ht="14.45" customHeight="1" x14ac:dyDescent="0.25">
      <c r="A19" s="4" t="s">
        <v>25</v>
      </c>
      <c r="B19" s="4" t="s">
        <v>139</v>
      </c>
      <c r="C19" s="4" t="s">
        <v>140</v>
      </c>
      <c r="D19" s="4" t="s">
        <v>28</v>
      </c>
      <c r="E19" s="4" t="s">
        <v>141</v>
      </c>
      <c r="F19" s="4" t="s">
        <v>142</v>
      </c>
      <c r="G19" s="4" t="s">
        <v>142</v>
      </c>
      <c r="H19" s="4" t="s">
        <v>143</v>
      </c>
      <c r="I19" s="4" t="s">
        <v>49</v>
      </c>
      <c r="J19" s="4" t="str">
        <f>"5895SB0002396"</f>
        <v>5895SB0002396</v>
      </c>
      <c r="K19" s="4" t="s">
        <v>50</v>
      </c>
      <c r="L19" s="4" t="str">
        <f>""</f>
        <v/>
      </c>
      <c r="M19" s="4" t="str">
        <f>""</f>
        <v/>
      </c>
      <c r="N19" s="4" t="s">
        <v>34</v>
      </c>
      <c r="O19" s="3"/>
      <c r="P19" s="3"/>
      <c r="Q19" s="3"/>
      <c r="R19" s="4" t="s">
        <v>35</v>
      </c>
      <c r="S19" s="3"/>
      <c r="T19" s="4" t="str">
        <f>"DMD200-166"</f>
        <v>DMD200-166</v>
      </c>
      <c r="U19" s="4" t="str">
        <f>"03-117017"</f>
        <v>03-117017</v>
      </c>
      <c r="V19" s="4" t="str">
        <f>"092432361"</f>
        <v>092432361</v>
      </c>
      <c r="W19" s="4" t="s">
        <v>36</v>
      </c>
      <c r="X19" s="4" t="str">
        <f>"1RN38"</f>
        <v>1RN38</v>
      </c>
      <c r="Y19" s="4" t="str">
        <f>"DMD020-166"</f>
        <v>DMD020-166</v>
      </c>
      <c r="Z19" s="4" t="str">
        <f>""</f>
        <v/>
      </c>
      <c r="AA19" s="4" t="str">
        <f>""</f>
        <v/>
      </c>
      <c r="AB19" s="5">
        <v>43465</v>
      </c>
      <c r="AC19" s="4">
        <v>0</v>
      </c>
    </row>
    <row r="20" spans="1:29" ht="14.45" customHeight="1" x14ac:dyDescent="0.25">
      <c r="A20" s="4" t="s">
        <v>25</v>
      </c>
      <c r="B20" s="4" t="s">
        <v>139</v>
      </c>
      <c r="C20" s="4" t="s">
        <v>140</v>
      </c>
      <c r="D20" s="4" t="s">
        <v>28</v>
      </c>
      <c r="E20" s="4" t="s">
        <v>141</v>
      </c>
      <c r="F20" s="4" t="s">
        <v>142</v>
      </c>
      <c r="G20" s="4" t="s">
        <v>142</v>
      </c>
      <c r="H20" s="4" t="s">
        <v>143</v>
      </c>
      <c r="I20" s="4" t="s">
        <v>49</v>
      </c>
      <c r="J20" s="4" t="str">
        <f>"5895SB0002396"</f>
        <v>5895SB0002396</v>
      </c>
      <c r="K20" s="4" t="s">
        <v>50</v>
      </c>
      <c r="L20" s="4" t="str">
        <f>""</f>
        <v/>
      </c>
      <c r="M20" s="4" t="str">
        <f>""</f>
        <v/>
      </c>
      <c r="N20" s="4" t="s">
        <v>34</v>
      </c>
      <c r="O20" s="3"/>
      <c r="P20" s="3"/>
      <c r="Q20" s="3"/>
      <c r="R20" s="4" t="s">
        <v>35</v>
      </c>
      <c r="S20" s="3"/>
      <c r="T20" s="4" t="str">
        <f>"DMD200-166"</f>
        <v>DMD200-166</v>
      </c>
      <c r="U20" s="4" t="str">
        <f>"03-117018"</f>
        <v>03-117018</v>
      </c>
      <c r="V20" s="4" t="str">
        <f>"092432358"</f>
        <v>092432358</v>
      </c>
      <c r="W20" s="4" t="s">
        <v>36</v>
      </c>
      <c r="X20" s="4" t="str">
        <f>"1RN38"</f>
        <v>1RN38</v>
      </c>
      <c r="Y20" s="4" t="str">
        <f>"DMD020-166"</f>
        <v>DMD020-166</v>
      </c>
      <c r="Z20" s="4" t="str">
        <f>""</f>
        <v/>
      </c>
      <c r="AA20" s="4" t="str">
        <f>""</f>
        <v/>
      </c>
      <c r="AB20" s="5">
        <v>43465</v>
      </c>
      <c r="AC20" s="4">
        <v>0</v>
      </c>
    </row>
    <row r="21" spans="1:29" ht="14.45" customHeight="1" x14ac:dyDescent="0.25">
      <c r="A21" s="4" t="s">
        <v>25</v>
      </c>
      <c r="B21" s="4" t="s">
        <v>139</v>
      </c>
      <c r="C21" s="4" t="s">
        <v>140</v>
      </c>
      <c r="D21" s="4" t="s">
        <v>28</v>
      </c>
      <c r="E21" s="4" t="s">
        <v>141</v>
      </c>
      <c r="F21" s="4" t="s">
        <v>142</v>
      </c>
      <c r="G21" s="4" t="s">
        <v>142</v>
      </c>
      <c r="H21" s="4" t="s">
        <v>143</v>
      </c>
      <c r="I21" s="4" t="s">
        <v>49</v>
      </c>
      <c r="J21" s="4" t="str">
        <f>"5895SB0002396"</f>
        <v>5895SB0002396</v>
      </c>
      <c r="K21" s="4" t="s">
        <v>50</v>
      </c>
      <c r="L21" s="4" t="str">
        <f>""</f>
        <v/>
      </c>
      <c r="M21" s="4" t="str">
        <f>""</f>
        <v/>
      </c>
      <c r="N21" s="4" t="s">
        <v>34</v>
      </c>
      <c r="O21" s="3"/>
      <c r="P21" s="3"/>
      <c r="Q21" s="3"/>
      <c r="R21" s="4" t="s">
        <v>35</v>
      </c>
      <c r="S21" s="3"/>
      <c r="T21" s="4" t="str">
        <f>"DMD200-166"</f>
        <v>DMD200-166</v>
      </c>
      <c r="U21" s="4" t="str">
        <f>"03-117019"</f>
        <v>03-117019</v>
      </c>
      <c r="V21" s="4" t="str">
        <f>"092421442"</f>
        <v>092421442</v>
      </c>
      <c r="W21" s="4" t="s">
        <v>36</v>
      </c>
      <c r="X21" s="4" t="str">
        <f>"1RN38"</f>
        <v>1RN38</v>
      </c>
      <c r="Y21" s="4" t="str">
        <f>"DMD020-166"</f>
        <v>DMD020-166</v>
      </c>
      <c r="Z21" s="4" t="str">
        <f>""</f>
        <v/>
      </c>
      <c r="AA21" s="4" t="str">
        <f>""</f>
        <v/>
      </c>
      <c r="AB21" s="5">
        <v>43465</v>
      </c>
      <c r="AC21" s="4">
        <v>0</v>
      </c>
    </row>
    <row r="22" spans="1:29" ht="14.45" customHeight="1" x14ac:dyDescent="0.25">
      <c r="A22" s="4" t="s">
        <v>25</v>
      </c>
      <c r="B22" s="4" t="s">
        <v>139</v>
      </c>
      <c r="C22" s="4" t="s">
        <v>140</v>
      </c>
      <c r="D22" s="4" t="s">
        <v>28</v>
      </c>
      <c r="E22" s="4" t="s">
        <v>141</v>
      </c>
      <c r="F22" s="4" t="s">
        <v>142</v>
      </c>
      <c r="G22" s="4" t="s">
        <v>142</v>
      </c>
      <c r="H22" s="4" t="s">
        <v>143</v>
      </c>
      <c r="I22" s="4" t="s">
        <v>49</v>
      </c>
      <c r="J22" s="4" t="str">
        <f>"5895SB0002396"</f>
        <v>5895SB0002396</v>
      </c>
      <c r="K22" s="4" t="s">
        <v>50</v>
      </c>
      <c r="L22" s="4" t="str">
        <f>""</f>
        <v/>
      </c>
      <c r="M22" s="4" t="str">
        <f>""</f>
        <v/>
      </c>
      <c r="N22" s="4" t="s">
        <v>34</v>
      </c>
      <c r="O22" s="3"/>
      <c r="P22" s="3"/>
      <c r="Q22" s="3"/>
      <c r="R22" s="4" t="s">
        <v>35</v>
      </c>
      <c r="S22" s="3"/>
      <c r="T22" s="4" t="str">
        <f>"DMD200-166"</f>
        <v>DMD200-166</v>
      </c>
      <c r="U22" s="4" t="str">
        <f>"03-117020"</f>
        <v>03-117020</v>
      </c>
      <c r="V22" s="4" t="str">
        <f>"092432356"</f>
        <v>092432356</v>
      </c>
      <c r="W22" s="4" t="s">
        <v>36</v>
      </c>
      <c r="X22" s="4" t="str">
        <f>"1RN38"</f>
        <v>1RN38</v>
      </c>
      <c r="Y22" s="4" t="str">
        <f>"DMD020-166"</f>
        <v>DMD020-166</v>
      </c>
      <c r="Z22" s="4" t="str">
        <f>""</f>
        <v/>
      </c>
      <c r="AA22" s="4" t="str">
        <f>""</f>
        <v/>
      </c>
      <c r="AB22" s="5">
        <v>43465</v>
      </c>
      <c r="AC22" s="4">
        <v>0</v>
      </c>
    </row>
    <row r="23" spans="1:29" ht="14.45" customHeight="1" x14ac:dyDescent="0.25">
      <c r="A23" s="4" t="s">
        <v>25</v>
      </c>
      <c r="B23" s="4" t="s">
        <v>139</v>
      </c>
      <c r="C23" s="4" t="s">
        <v>140</v>
      </c>
      <c r="D23" s="4" t="s">
        <v>28</v>
      </c>
      <c r="E23" s="4" t="s">
        <v>141</v>
      </c>
      <c r="F23" s="4" t="s">
        <v>142</v>
      </c>
      <c r="G23" s="4" t="s">
        <v>142</v>
      </c>
      <c r="H23" s="4" t="s">
        <v>143</v>
      </c>
      <c r="I23" s="4" t="s">
        <v>49</v>
      </c>
      <c r="J23" s="4" t="str">
        <f>"5895SB0002396"</f>
        <v>5895SB0002396</v>
      </c>
      <c r="K23" s="4" t="s">
        <v>50</v>
      </c>
      <c r="L23" s="4" t="str">
        <f>""</f>
        <v/>
      </c>
      <c r="M23" s="4" t="str">
        <f>""</f>
        <v/>
      </c>
      <c r="N23" s="4" t="s">
        <v>34</v>
      </c>
      <c r="O23" s="3"/>
      <c r="P23" s="3"/>
      <c r="Q23" s="3"/>
      <c r="R23" s="4" t="s">
        <v>35</v>
      </c>
      <c r="S23" s="3"/>
      <c r="T23" s="4" t="str">
        <f>"DMD200-166"</f>
        <v>DMD200-166</v>
      </c>
      <c r="U23" s="4" t="str">
        <f>"03-117021"</f>
        <v>03-117021</v>
      </c>
      <c r="V23" s="4" t="str">
        <f>"092428455"</f>
        <v>092428455</v>
      </c>
      <c r="W23" s="4" t="s">
        <v>36</v>
      </c>
      <c r="X23" s="4" t="str">
        <f>"1RN38"</f>
        <v>1RN38</v>
      </c>
      <c r="Y23" s="4" t="str">
        <f>"DMD020-166"</f>
        <v>DMD020-166</v>
      </c>
      <c r="Z23" s="4" t="str">
        <f>""</f>
        <v/>
      </c>
      <c r="AA23" s="4" t="str">
        <f>""</f>
        <v/>
      </c>
      <c r="AB23" s="5">
        <v>43465</v>
      </c>
      <c r="AC23" s="4">
        <v>0</v>
      </c>
    </row>
    <row r="24" spans="1:29" ht="14.45" customHeight="1" x14ac:dyDescent="0.25">
      <c r="A24" s="4" t="s">
        <v>25</v>
      </c>
      <c r="B24" s="4" t="s">
        <v>139</v>
      </c>
      <c r="C24" s="4" t="s">
        <v>140</v>
      </c>
      <c r="D24" s="4" t="s">
        <v>28</v>
      </c>
      <c r="E24" s="4" t="s">
        <v>141</v>
      </c>
      <c r="F24" s="4" t="s">
        <v>142</v>
      </c>
      <c r="G24" s="4" t="s">
        <v>142</v>
      </c>
      <c r="H24" s="4" t="s">
        <v>143</v>
      </c>
      <c r="I24" s="4" t="s">
        <v>162</v>
      </c>
      <c r="J24" s="4" t="str">
        <f>"5895SB0002490"</f>
        <v>5895SB0002490</v>
      </c>
      <c r="K24" s="4" t="s">
        <v>163</v>
      </c>
      <c r="L24" s="4" t="str">
        <f>""</f>
        <v/>
      </c>
      <c r="M24" s="4" t="str">
        <f>""</f>
        <v/>
      </c>
      <c r="N24" s="4" t="s">
        <v>34</v>
      </c>
      <c r="O24" s="3"/>
      <c r="P24" s="3"/>
      <c r="Q24" s="3"/>
      <c r="R24" s="4" t="s">
        <v>35</v>
      </c>
      <c r="S24" s="3"/>
      <c r="T24" s="4" t="str">
        <f>"6625015708052"</f>
        <v>6625015708052</v>
      </c>
      <c r="U24" s="4" t="str">
        <f>"03-116974"</f>
        <v>03-116974</v>
      </c>
      <c r="V24" s="4" t="str">
        <f>"1474685"</f>
        <v>1474685</v>
      </c>
      <c r="W24" s="4" t="s">
        <v>36</v>
      </c>
      <c r="X24" s="4" t="str">
        <f>"33592"</f>
        <v>33592</v>
      </c>
      <c r="Y24" s="4" t="str">
        <f>"DNS-8.15/7.5TR"</f>
        <v>DNS-8.15/7.5TR</v>
      </c>
      <c r="Z24" s="4" t="str">
        <f>""</f>
        <v/>
      </c>
      <c r="AA24" s="4" t="str">
        <f>""</f>
        <v/>
      </c>
      <c r="AB24" s="5">
        <v>43465</v>
      </c>
      <c r="AC24" s="4">
        <v>0</v>
      </c>
    </row>
    <row r="25" spans="1:29" ht="14.45" customHeight="1" x14ac:dyDescent="0.25">
      <c r="A25" s="4" t="s">
        <v>25</v>
      </c>
      <c r="B25" s="4" t="s">
        <v>139</v>
      </c>
      <c r="C25" s="4" t="s">
        <v>140</v>
      </c>
      <c r="D25" s="4" t="s">
        <v>28</v>
      </c>
      <c r="E25" s="4" t="s">
        <v>141</v>
      </c>
      <c r="F25" s="4" t="s">
        <v>142</v>
      </c>
      <c r="G25" s="4" t="s">
        <v>142</v>
      </c>
      <c r="H25" s="4" t="s">
        <v>143</v>
      </c>
      <c r="I25" s="4" t="s">
        <v>126</v>
      </c>
      <c r="J25" s="4" t="str">
        <f>"5895SB0002623"</f>
        <v>5895SB0002623</v>
      </c>
      <c r="K25" s="4" t="s">
        <v>164</v>
      </c>
      <c r="L25" s="4" t="str">
        <f>""</f>
        <v/>
      </c>
      <c r="M25" s="4" t="str">
        <f>""</f>
        <v/>
      </c>
      <c r="N25" s="4" t="s">
        <v>34</v>
      </c>
      <c r="O25" s="3"/>
      <c r="P25" s="3"/>
      <c r="Q25" s="3"/>
      <c r="R25" s="4" t="s">
        <v>35</v>
      </c>
      <c r="S25" s="3"/>
      <c r="T25" s="4" t="str">
        <f>"10537-05020"</f>
        <v>10537-05020</v>
      </c>
      <c r="U25" s="4" t="str">
        <f>"03-116853"</f>
        <v>03-116853</v>
      </c>
      <c r="V25" s="4" t="str">
        <f>"100364"</f>
        <v>100364</v>
      </c>
      <c r="W25" s="4" t="s">
        <v>36</v>
      </c>
      <c r="X25" s="4" t="str">
        <f>"02MQ7"</f>
        <v>02MQ7</v>
      </c>
      <c r="Y25" s="4" t="str">
        <f>"10537-05020"</f>
        <v>10537-05020</v>
      </c>
      <c r="Z25" s="4" t="str">
        <f>""</f>
        <v/>
      </c>
      <c r="AA25" s="4" t="str">
        <f>""</f>
        <v/>
      </c>
      <c r="AB25" s="5">
        <v>43465</v>
      </c>
      <c r="AC25" s="4">
        <v>0</v>
      </c>
    </row>
    <row r="26" spans="1:29" ht="14.45" customHeight="1" x14ac:dyDescent="0.25">
      <c r="A26" s="4" t="s">
        <v>25</v>
      </c>
      <c r="B26" s="4" t="s">
        <v>139</v>
      </c>
      <c r="C26" s="4" t="s">
        <v>140</v>
      </c>
      <c r="D26" s="4" t="s">
        <v>28</v>
      </c>
      <c r="E26" s="4" t="s">
        <v>141</v>
      </c>
      <c r="F26" s="4" t="s">
        <v>142</v>
      </c>
      <c r="G26" s="4" t="s">
        <v>142</v>
      </c>
      <c r="H26" s="4" t="s">
        <v>143</v>
      </c>
      <c r="I26" s="4" t="s">
        <v>165</v>
      </c>
      <c r="J26" s="4" t="str">
        <f>"5895SB0002694"</f>
        <v>5895SB0002694</v>
      </c>
      <c r="K26" s="4" t="s">
        <v>166</v>
      </c>
      <c r="L26" s="4" t="str">
        <f>""</f>
        <v/>
      </c>
      <c r="M26" s="4" t="str">
        <f>""</f>
        <v/>
      </c>
      <c r="N26" s="4" t="s">
        <v>34</v>
      </c>
      <c r="O26" s="3"/>
      <c r="P26" s="3"/>
      <c r="Q26" s="3"/>
      <c r="R26" s="4" t="s">
        <v>35</v>
      </c>
      <c r="S26" s="3"/>
      <c r="T26" s="4" t="str">
        <f>"7025015780903"</f>
        <v>7025015780903</v>
      </c>
      <c r="U26" s="4" t="str">
        <f>"03-116987"</f>
        <v>03-116987</v>
      </c>
      <c r="V26" s="4" t="str">
        <f>"041344"</f>
        <v>041344</v>
      </c>
      <c r="W26" s="4" t="s">
        <v>36</v>
      </c>
      <c r="X26" s="4" t="str">
        <f>"05SZ0"</f>
        <v>05SZ0</v>
      </c>
      <c r="Y26" s="4" t="str">
        <f>"IDIRECT 7350"</f>
        <v>IDIRECT 7350</v>
      </c>
      <c r="Z26" s="4" t="str">
        <f>""</f>
        <v/>
      </c>
      <c r="AA26" s="4" t="str">
        <f>""</f>
        <v/>
      </c>
      <c r="AB26" s="5">
        <v>43465</v>
      </c>
      <c r="AC26" s="4">
        <v>0</v>
      </c>
    </row>
    <row r="27" spans="1:29" ht="14.45" customHeight="1" x14ac:dyDescent="0.25">
      <c r="A27" s="4" t="s">
        <v>25</v>
      </c>
      <c r="B27" s="4" t="s">
        <v>139</v>
      </c>
      <c r="C27" s="4" t="s">
        <v>140</v>
      </c>
      <c r="D27" s="4" t="s">
        <v>28</v>
      </c>
      <c r="E27" s="4" t="s">
        <v>141</v>
      </c>
      <c r="F27" s="4" t="s">
        <v>142</v>
      </c>
      <c r="G27" s="4" t="s">
        <v>142</v>
      </c>
      <c r="H27" s="4" t="s">
        <v>143</v>
      </c>
      <c r="I27" s="4" t="s">
        <v>54</v>
      </c>
      <c r="J27" s="4" t="str">
        <f>"5895SB0002742"</f>
        <v>5895SB0002742</v>
      </c>
      <c r="K27" s="4" t="s">
        <v>55</v>
      </c>
      <c r="L27" s="4" t="str">
        <f>""</f>
        <v/>
      </c>
      <c r="M27" s="4" t="str">
        <f>""</f>
        <v/>
      </c>
      <c r="N27" s="4" t="s">
        <v>34</v>
      </c>
      <c r="O27" s="3"/>
      <c r="P27" s="3"/>
      <c r="Q27" s="3"/>
      <c r="R27" s="4" t="s">
        <v>35</v>
      </c>
      <c r="S27" s="3"/>
      <c r="T27" s="4" t="str">
        <f>"174991-22"</f>
        <v>174991-22</v>
      </c>
      <c r="U27" s="4" t="str">
        <f>"03-116918"</f>
        <v>03-116918</v>
      </c>
      <c r="V27" s="4" t="str">
        <f>"1476036"</f>
        <v>1476036</v>
      </c>
      <c r="W27" s="4" t="s">
        <v>36</v>
      </c>
      <c r="X27" s="4" t="str">
        <f>"33592"</f>
        <v>33592</v>
      </c>
      <c r="Y27" s="4" t="str">
        <f>"174991-22"</f>
        <v>174991-22</v>
      </c>
      <c r="Z27" s="4" t="str">
        <f>""</f>
        <v/>
      </c>
      <c r="AA27" s="4" t="str">
        <f>""</f>
        <v/>
      </c>
      <c r="AB27" s="5">
        <v>43465</v>
      </c>
      <c r="AC27" s="4">
        <v>0</v>
      </c>
    </row>
    <row r="28" spans="1:29" ht="14.45" customHeight="1" x14ac:dyDescent="0.25">
      <c r="A28" s="4" t="s">
        <v>25</v>
      </c>
      <c r="B28" s="4" t="s">
        <v>139</v>
      </c>
      <c r="C28" s="4" t="s">
        <v>140</v>
      </c>
      <c r="D28" s="4" t="s">
        <v>28</v>
      </c>
      <c r="E28" s="4" t="s">
        <v>141</v>
      </c>
      <c r="F28" s="4" t="s">
        <v>142</v>
      </c>
      <c r="G28" s="4" t="s">
        <v>142</v>
      </c>
      <c r="H28" s="4" t="s">
        <v>143</v>
      </c>
      <c r="I28" s="4" t="s">
        <v>54</v>
      </c>
      <c r="J28" s="4" t="str">
        <f>"5895SB0002742"</f>
        <v>5895SB0002742</v>
      </c>
      <c r="K28" s="4" t="s">
        <v>55</v>
      </c>
      <c r="L28" s="4" t="str">
        <f>""</f>
        <v/>
      </c>
      <c r="M28" s="4" t="str">
        <f>""</f>
        <v/>
      </c>
      <c r="N28" s="4" t="s">
        <v>34</v>
      </c>
      <c r="O28" s="3"/>
      <c r="P28" s="3"/>
      <c r="Q28" s="3"/>
      <c r="R28" s="4" t="s">
        <v>35</v>
      </c>
      <c r="S28" s="3"/>
      <c r="T28" s="4" t="str">
        <f>"174991-22"</f>
        <v>174991-22</v>
      </c>
      <c r="U28" s="4" t="str">
        <f>"03-116919"</f>
        <v>03-116919</v>
      </c>
      <c r="V28" s="4" t="str">
        <f>"1476331"</f>
        <v>1476331</v>
      </c>
      <c r="W28" s="4" t="s">
        <v>36</v>
      </c>
      <c r="X28" s="4" t="str">
        <f>"33592"</f>
        <v>33592</v>
      </c>
      <c r="Y28" s="4" t="str">
        <f>"174991-22"</f>
        <v>174991-22</v>
      </c>
      <c r="Z28" s="4" t="str">
        <f>""</f>
        <v/>
      </c>
      <c r="AA28" s="4" t="str">
        <f>""</f>
        <v/>
      </c>
      <c r="AB28" s="5">
        <v>43465</v>
      </c>
      <c r="AC28" s="4">
        <v>0</v>
      </c>
    </row>
    <row r="29" spans="1:29" ht="14.45" customHeight="1" x14ac:dyDescent="0.25">
      <c r="A29" s="4" t="s">
        <v>25</v>
      </c>
      <c r="B29" s="4" t="s">
        <v>139</v>
      </c>
      <c r="C29" s="4" t="s">
        <v>140</v>
      </c>
      <c r="D29" s="4" t="s">
        <v>28</v>
      </c>
      <c r="E29" s="4" t="s">
        <v>141</v>
      </c>
      <c r="F29" s="4" t="s">
        <v>142</v>
      </c>
      <c r="G29" s="4" t="s">
        <v>142</v>
      </c>
      <c r="H29" s="4" t="s">
        <v>143</v>
      </c>
      <c r="I29" s="4" t="s">
        <v>56</v>
      </c>
      <c r="J29" s="4" t="str">
        <f>"5895SB0002757"</f>
        <v>5895SB0002757</v>
      </c>
      <c r="K29" s="4" t="s">
        <v>57</v>
      </c>
      <c r="L29" s="4" t="str">
        <f>""</f>
        <v/>
      </c>
      <c r="M29" s="4" t="str">
        <f>""</f>
        <v/>
      </c>
      <c r="N29" s="4" t="s">
        <v>34</v>
      </c>
      <c r="O29" s="3"/>
      <c r="P29" s="3"/>
      <c r="Q29" s="3"/>
      <c r="R29" s="4" t="s">
        <v>35</v>
      </c>
      <c r="S29" s="3"/>
      <c r="T29" s="4" t="str">
        <f>"174992-49"</f>
        <v>174992-49</v>
      </c>
      <c r="U29" s="4" t="str">
        <f>"03-116924"</f>
        <v>03-116924</v>
      </c>
      <c r="V29" s="4" t="str">
        <f>"1471920"</f>
        <v>1471920</v>
      </c>
      <c r="W29" s="4" t="s">
        <v>36</v>
      </c>
      <c r="X29" s="4" t="str">
        <f>"02MQ7"</f>
        <v>02MQ7</v>
      </c>
      <c r="Y29" s="4" t="str">
        <f>"174992-49"</f>
        <v>174992-49</v>
      </c>
      <c r="Z29" s="4" t="str">
        <f>""</f>
        <v/>
      </c>
      <c r="AA29" s="4" t="str">
        <f>""</f>
        <v/>
      </c>
      <c r="AB29" s="5">
        <v>43465</v>
      </c>
      <c r="AC29" s="4">
        <v>0</v>
      </c>
    </row>
    <row r="30" spans="1:29" ht="14.45" customHeight="1" x14ac:dyDescent="0.25">
      <c r="A30" s="4" t="s">
        <v>25</v>
      </c>
      <c r="B30" s="4" t="s">
        <v>139</v>
      </c>
      <c r="C30" s="4" t="s">
        <v>140</v>
      </c>
      <c r="D30" s="4" t="s">
        <v>28</v>
      </c>
      <c r="E30" s="4" t="s">
        <v>141</v>
      </c>
      <c r="F30" s="4" t="s">
        <v>142</v>
      </c>
      <c r="G30" s="4" t="s">
        <v>142</v>
      </c>
      <c r="H30" s="4" t="s">
        <v>143</v>
      </c>
      <c r="I30" s="4" t="s">
        <v>56</v>
      </c>
      <c r="J30" s="4" t="str">
        <f>"5895SB0002757"</f>
        <v>5895SB0002757</v>
      </c>
      <c r="K30" s="4" t="s">
        <v>57</v>
      </c>
      <c r="L30" s="4" t="str">
        <f>""</f>
        <v/>
      </c>
      <c r="M30" s="4" t="str">
        <f>""</f>
        <v/>
      </c>
      <c r="N30" s="4" t="s">
        <v>34</v>
      </c>
      <c r="O30" s="3"/>
      <c r="P30" s="3"/>
      <c r="Q30" s="3"/>
      <c r="R30" s="4" t="s">
        <v>35</v>
      </c>
      <c r="S30" s="3"/>
      <c r="T30" s="4" t="str">
        <f>"174992-49"</f>
        <v>174992-49</v>
      </c>
      <c r="U30" s="4" t="str">
        <f>"03-116925"</f>
        <v>03-116925</v>
      </c>
      <c r="V30" s="4" t="str">
        <f>"1471921"</f>
        <v>1471921</v>
      </c>
      <c r="W30" s="4" t="s">
        <v>36</v>
      </c>
      <c r="X30" s="4" t="str">
        <f>"02MQ7"</f>
        <v>02MQ7</v>
      </c>
      <c r="Y30" s="4" t="str">
        <f>"174992-49"</f>
        <v>174992-49</v>
      </c>
      <c r="Z30" s="4" t="str">
        <f>""</f>
        <v/>
      </c>
      <c r="AA30" s="4" t="str">
        <f>""</f>
        <v/>
      </c>
      <c r="AB30" s="5">
        <v>43465</v>
      </c>
      <c r="AC30" s="4">
        <v>0</v>
      </c>
    </row>
    <row r="31" spans="1:29" ht="14.45" customHeight="1" x14ac:dyDescent="0.25">
      <c r="A31" s="4" t="s">
        <v>25</v>
      </c>
      <c r="B31" s="4" t="s">
        <v>139</v>
      </c>
      <c r="C31" s="4" t="s">
        <v>140</v>
      </c>
      <c r="D31" s="4" t="s">
        <v>28</v>
      </c>
      <c r="E31" s="4" t="s">
        <v>141</v>
      </c>
      <c r="F31" s="4" t="s">
        <v>142</v>
      </c>
      <c r="G31" s="4" t="s">
        <v>142</v>
      </c>
      <c r="H31" s="4" t="s">
        <v>143</v>
      </c>
      <c r="I31" s="4" t="s">
        <v>167</v>
      </c>
      <c r="J31" s="4" t="str">
        <f>"5895SB0002983"</f>
        <v>5895SB0002983</v>
      </c>
      <c r="K31" s="4" t="s">
        <v>168</v>
      </c>
      <c r="L31" s="4" t="str">
        <f>""</f>
        <v/>
      </c>
      <c r="M31" s="4" t="str">
        <f>""</f>
        <v/>
      </c>
      <c r="N31" s="4" t="s">
        <v>34</v>
      </c>
      <c r="O31" s="3"/>
      <c r="P31" s="3"/>
      <c r="Q31" s="3"/>
      <c r="R31" s="4" t="s">
        <v>35</v>
      </c>
      <c r="S31" s="3"/>
      <c r="T31" s="4" t="str">
        <f>"12721-500"</f>
        <v>12721-500</v>
      </c>
      <c r="U31" s="4" t="str">
        <f>"03-116908"</f>
        <v>03-116908</v>
      </c>
      <c r="V31" s="4" t="str">
        <f>"12721-019"</f>
        <v>12721-019</v>
      </c>
      <c r="W31" s="4" t="s">
        <v>36</v>
      </c>
      <c r="X31" s="4" t="str">
        <f>"53263"</f>
        <v>53263</v>
      </c>
      <c r="Y31" s="4" t="str">
        <f>"12721-500"</f>
        <v>12721-500</v>
      </c>
      <c r="Z31" s="4" t="str">
        <f>""</f>
        <v/>
      </c>
      <c r="AA31" s="4" t="str">
        <f>""</f>
        <v/>
      </c>
      <c r="AB31" s="5">
        <v>43465</v>
      </c>
      <c r="AC31" s="4">
        <v>0</v>
      </c>
    </row>
    <row r="32" spans="1:29" ht="14.45" customHeight="1" x14ac:dyDescent="0.25">
      <c r="A32" s="4" t="s">
        <v>25</v>
      </c>
      <c r="B32" s="4" t="s">
        <v>139</v>
      </c>
      <c r="C32" s="4" t="s">
        <v>140</v>
      </c>
      <c r="D32" s="4" t="s">
        <v>28</v>
      </c>
      <c r="E32" s="4" t="s">
        <v>141</v>
      </c>
      <c r="F32" s="4" t="s">
        <v>142</v>
      </c>
      <c r="G32" s="4" t="s">
        <v>142</v>
      </c>
      <c r="H32" s="4" t="s">
        <v>143</v>
      </c>
      <c r="I32" s="4" t="s">
        <v>169</v>
      </c>
      <c r="J32" s="4" t="str">
        <f>"5895SB0003006"</f>
        <v>5895SB0003006</v>
      </c>
      <c r="K32" s="4" t="s">
        <v>170</v>
      </c>
      <c r="L32" s="4" t="str">
        <f>""</f>
        <v/>
      </c>
      <c r="M32" s="4" t="str">
        <f>""</f>
        <v/>
      </c>
      <c r="N32" s="4" t="s">
        <v>34</v>
      </c>
      <c r="O32" s="3"/>
      <c r="P32" s="3"/>
      <c r="Q32" s="3"/>
      <c r="R32" s="4" t="s">
        <v>35</v>
      </c>
      <c r="S32" s="3"/>
      <c r="T32" s="4" t="str">
        <f>"0787021100500"</f>
        <v>0787021100500</v>
      </c>
      <c r="U32" s="4" t="str">
        <f>"03-116821"</f>
        <v>03-116821</v>
      </c>
      <c r="V32" s="4" t="str">
        <f>"002"</f>
        <v>002</v>
      </c>
      <c r="W32" s="4" t="s">
        <v>36</v>
      </c>
      <c r="X32" s="4" t="str">
        <f>"0177B"</f>
        <v>0177B</v>
      </c>
      <c r="Y32" s="4" t="str">
        <f>"0787021100500"</f>
        <v>0787021100500</v>
      </c>
      <c r="Z32" s="4" t="str">
        <f>""</f>
        <v/>
      </c>
      <c r="AA32" s="4" t="str">
        <f>""</f>
        <v/>
      </c>
      <c r="AB32" s="5">
        <v>43465</v>
      </c>
      <c r="AC32" s="4">
        <v>0</v>
      </c>
    </row>
    <row r="33" spans="1:29" ht="14.45" customHeight="1" x14ac:dyDescent="0.25">
      <c r="A33" s="4" t="s">
        <v>25</v>
      </c>
      <c r="B33" s="4" t="s">
        <v>139</v>
      </c>
      <c r="C33" s="4" t="s">
        <v>140</v>
      </c>
      <c r="D33" s="4" t="s">
        <v>28</v>
      </c>
      <c r="E33" s="4" t="s">
        <v>141</v>
      </c>
      <c r="F33" s="4" t="s">
        <v>142</v>
      </c>
      <c r="G33" s="4" t="s">
        <v>142</v>
      </c>
      <c r="H33" s="4" t="s">
        <v>143</v>
      </c>
      <c r="I33" s="4" t="s">
        <v>171</v>
      </c>
      <c r="J33" s="4" t="str">
        <f>"5895SB0003576"</f>
        <v>5895SB0003576</v>
      </c>
      <c r="K33" s="4" t="s">
        <v>172</v>
      </c>
      <c r="L33" s="4" t="str">
        <f>""</f>
        <v/>
      </c>
      <c r="M33" s="4" t="str">
        <f>""</f>
        <v/>
      </c>
      <c r="N33" s="4" t="s">
        <v>34</v>
      </c>
      <c r="O33" s="3"/>
      <c r="P33" s="3"/>
      <c r="Q33" s="3"/>
      <c r="R33" s="4" t="s">
        <v>35</v>
      </c>
      <c r="S33" s="3"/>
      <c r="T33" s="4" t="str">
        <f>"0911720159"</f>
        <v>0911720159</v>
      </c>
      <c r="U33" s="4" t="str">
        <f>"03-115833"</f>
        <v>03-115833</v>
      </c>
      <c r="V33" s="4" t="str">
        <f>"003"</f>
        <v>003</v>
      </c>
      <c r="W33" s="4" t="s">
        <v>36</v>
      </c>
      <c r="X33" s="4" t="str">
        <f>"0076B"</f>
        <v>0076B</v>
      </c>
      <c r="Y33" s="4" t="str">
        <f>"0911720159"</f>
        <v>0911720159</v>
      </c>
      <c r="Z33" s="4" t="str">
        <f>""</f>
        <v/>
      </c>
      <c r="AA33" s="4" t="str">
        <f>""</f>
        <v/>
      </c>
      <c r="AB33" s="5">
        <v>43465</v>
      </c>
      <c r="AC33" s="4">
        <v>0</v>
      </c>
    </row>
    <row r="34" spans="1:29" ht="14.45" customHeight="1" x14ac:dyDescent="0.25">
      <c r="A34" s="4" t="s">
        <v>25</v>
      </c>
      <c r="B34" s="4" t="s">
        <v>139</v>
      </c>
      <c r="C34" s="4" t="s">
        <v>140</v>
      </c>
      <c r="D34" s="4" t="s">
        <v>28</v>
      </c>
      <c r="E34" s="4" t="s">
        <v>141</v>
      </c>
      <c r="F34" s="4" t="s">
        <v>142</v>
      </c>
      <c r="G34" s="4" t="s">
        <v>142</v>
      </c>
      <c r="H34" s="4" t="s">
        <v>143</v>
      </c>
      <c r="I34" s="4" t="s">
        <v>171</v>
      </c>
      <c r="J34" s="4" t="str">
        <f>"5895SB0003576"</f>
        <v>5895SB0003576</v>
      </c>
      <c r="K34" s="4" t="s">
        <v>172</v>
      </c>
      <c r="L34" s="4" t="str">
        <f>""</f>
        <v/>
      </c>
      <c r="M34" s="4" t="str">
        <f>""</f>
        <v/>
      </c>
      <c r="N34" s="4" t="s">
        <v>34</v>
      </c>
      <c r="O34" s="3"/>
      <c r="P34" s="3"/>
      <c r="Q34" s="3"/>
      <c r="R34" s="4" t="s">
        <v>35</v>
      </c>
      <c r="S34" s="3"/>
      <c r="T34" s="4" t="str">
        <f>"0911720159"</f>
        <v>0911720159</v>
      </c>
      <c r="U34" s="4" t="str">
        <f>"03-116837"</f>
        <v>03-116837</v>
      </c>
      <c r="V34" s="4" t="str">
        <f>"002"</f>
        <v>002</v>
      </c>
      <c r="W34" s="4" t="s">
        <v>36</v>
      </c>
      <c r="X34" s="4" t="str">
        <f>"0177B"</f>
        <v>0177B</v>
      </c>
      <c r="Y34" s="4" t="str">
        <f>"0787020001700"</f>
        <v>0787020001700</v>
      </c>
      <c r="Z34" s="4" t="str">
        <f>""</f>
        <v/>
      </c>
      <c r="AA34" s="4" t="str">
        <f>""</f>
        <v/>
      </c>
      <c r="AB34" s="5">
        <v>43465</v>
      </c>
      <c r="AC34" s="4">
        <v>0</v>
      </c>
    </row>
    <row r="35" spans="1:29" ht="14.45" customHeight="1" x14ac:dyDescent="0.25">
      <c r="A35" s="4" t="s">
        <v>25</v>
      </c>
      <c r="B35" s="4" t="s">
        <v>139</v>
      </c>
      <c r="C35" s="4" t="s">
        <v>140</v>
      </c>
      <c r="D35" s="4" t="s">
        <v>28</v>
      </c>
      <c r="E35" s="4" t="s">
        <v>141</v>
      </c>
      <c r="F35" s="4" t="s">
        <v>142</v>
      </c>
      <c r="G35" s="4" t="s">
        <v>142</v>
      </c>
      <c r="H35" s="4" t="s">
        <v>143</v>
      </c>
      <c r="I35" s="4" t="s">
        <v>61</v>
      </c>
      <c r="J35" s="4" t="str">
        <f>"5895SB0003672"</f>
        <v>5895SB0003672</v>
      </c>
      <c r="K35" s="4" t="s">
        <v>62</v>
      </c>
      <c r="L35" s="4" t="str">
        <f>""</f>
        <v/>
      </c>
      <c r="M35" s="4" t="str">
        <f>""</f>
        <v/>
      </c>
      <c r="N35" s="4" t="s">
        <v>34</v>
      </c>
      <c r="O35" s="3"/>
      <c r="P35" s="3"/>
      <c r="Q35" s="3"/>
      <c r="R35" s="4" t="s">
        <v>35</v>
      </c>
      <c r="S35" s="3"/>
      <c r="T35" s="4" t="str">
        <f>"5895015774999"</f>
        <v>5895015774999</v>
      </c>
      <c r="U35" s="4" t="str">
        <f>"03-116912"</f>
        <v>03-116912</v>
      </c>
      <c r="V35" s="4" t="str">
        <f>"1469536"</f>
        <v>1469536</v>
      </c>
      <c r="W35" s="4" t="s">
        <v>36</v>
      </c>
      <c r="X35" s="4" t="str">
        <f>"02MQ7"</f>
        <v>02MQ7</v>
      </c>
      <c r="Y35" s="4" t="str">
        <f>"161105-1"</f>
        <v>161105-1</v>
      </c>
      <c r="Z35" s="4" t="str">
        <f>""</f>
        <v/>
      </c>
      <c r="AA35" s="4" t="str">
        <f>""</f>
        <v/>
      </c>
      <c r="AB35" s="5">
        <v>43465</v>
      </c>
      <c r="AC35" s="4">
        <v>0</v>
      </c>
    </row>
    <row r="36" spans="1:29" ht="14.45" customHeight="1" x14ac:dyDescent="0.25">
      <c r="A36" s="4" t="s">
        <v>25</v>
      </c>
      <c r="B36" s="4" t="s">
        <v>139</v>
      </c>
      <c r="C36" s="4" t="s">
        <v>140</v>
      </c>
      <c r="D36" s="4" t="s">
        <v>28</v>
      </c>
      <c r="E36" s="4" t="s">
        <v>141</v>
      </c>
      <c r="F36" s="4" t="s">
        <v>142</v>
      </c>
      <c r="G36" s="4" t="s">
        <v>142</v>
      </c>
      <c r="H36" s="4" t="s">
        <v>143</v>
      </c>
      <c r="I36" s="4" t="s">
        <v>61</v>
      </c>
      <c r="J36" s="4" t="str">
        <f>"5895SB0003672"</f>
        <v>5895SB0003672</v>
      </c>
      <c r="K36" s="4" t="s">
        <v>62</v>
      </c>
      <c r="L36" s="4" t="str">
        <f>""</f>
        <v/>
      </c>
      <c r="M36" s="4" t="str">
        <f>""</f>
        <v/>
      </c>
      <c r="N36" s="4" t="s">
        <v>34</v>
      </c>
      <c r="O36" s="3"/>
      <c r="P36" s="3"/>
      <c r="Q36" s="3"/>
      <c r="R36" s="4" t="s">
        <v>35</v>
      </c>
      <c r="S36" s="3"/>
      <c r="T36" s="4" t="str">
        <f>"5895015774999"</f>
        <v>5895015774999</v>
      </c>
      <c r="U36" s="4" t="str">
        <f>"03-116915"</f>
        <v>03-116915</v>
      </c>
      <c r="V36" s="4" t="str">
        <f>"1466336"</f>
        <v>1466336</v>
      </c>
      <c r="W36" s="4" t="s">
        <v>36</v>
      </c>
      <c r="X36" s="4" t="str">
        <f>"02MQ7"</f>
        <v>02MQ7</v>
      </c>
      <c r="Y36" s="4" t="str">
        <f>"161105-1"</f>
        <v>161105-1</v>
      </c>
      <c r="Z36" s="4" t="str">
        <f>""</f>
        <v/>
      </c>
      <c r="AA36" s="4" t="str">
        <f>""</f>
        <v/>
      </c>
      <c r="AB36" s="5">
        <v>43465</v>
      </c>
      <c r="AC36" s="4">
        <v>0</v>
      </c>
    </row>
    <row r="37" spans="1:29" ht="14.45" customHeight="1" x14ac:dyDescent="0.25">
      <c r="A37" s="4" t="s">
        <v>25</v>
      </c>
      <c r="B37" s="4" t="s">
        <v>139</v>
      </c>
      <c r="C37" s="4" t="s">
        <v>140</v>
      </c>
      <c r="D37" s="4" t="s">
        <v>28</v>
      </c>
      <c r="E37" s="4" t="s">
        <v>141</v>
      </c>
      <c r="F37" s="4" t="s">
        <v>142</v>
      </c>
      <c r="G37" s="4" t="s">
        <v>142</v>
      </c>
      <c r="H37" s="4" t="s">
        <v>143</v>
      </c>
      <c r="I37" s="4" t="s">
        <v>42</v>
      </c>
      <c r="J37" s="4" t="str">
        <f>"5895SB0004003"</f>
        <v>5895SB0004003</v>
      </c>
      <c r="K37" s="4" t="s">
        <v>65</v>
      </c>
      <c r="L37" s="4" t="str">
        <f>""</f>
        <v/>
      </c>
      <c r="M37" s="4" t="str">
        <f>""</f>
        <v/>
      </c>
      <c r="N37" s="4" t="s">
        <v>34</v>
      </c>
      <c r="O37" s="3"/>
      <c r="P37" s="3"/>
      <c r="Q37" s="3"/>
      <c r="R37" s="4" t="s">
        <v>35</v>
      </c>
      <c r="S37" s="3"/>
      <c r="T37" s="4" t="str">
        <f>"5975145561174"</f>
        <v>5975145561174</v>
      </c>
      <c r="U37" s="4" t="str">
        <f>"03-123671"</f>
        <v>03-123671</v>
      </c>
      <c r="V37" s="4" t="str">
        <f>"61936040AA00031"</f>
        <v>61936040AA00031</v>
      </c>
      <c r="W37" s="4" t="s">
        <v>36</v>
      </c>
      <c r="X37" s="4" t="str">
        <f>"F0057"</f>
        <v>F0057</v>
      </c>
      <c r="Y37" s="4" t="str">
        <f>"61936040AA"</f>
        <v>61936040AA</v>
      </c>
      <c r="Z37" s="4" t="str">
        <f>""</f>
        <v/>
      </c>
      <c r="AA37" s="4" t="str">
        <f>""</f>
        <v/>
      </c>
      <c r="AB37" s="5">
        <v>43465</v>
      </c>
      <c r="AC37" s="4">
        <v>0</v>
      </c>
    </row>
    <row r="38" spans="1:29" ht="14.45" customHeight="1" x14ac:dyDescent="0.25">
      <c r="A38" s="4" t="s">
        <v>25</v>
      </c>
      <c r="B38" s="4" t="s">
        <v>139</v>
      </c>
      <c r="C38" s="4" t="s">
        <v>140</v>
      </c>
      <c r="D38" s="4" t="s">
        <v>28</v>
      </c>
      <c r="E38" s="4" t="s">
        <v>141</v>
      </c>
      <c r="F38" s="4" t="s">
        <v>142</v>
      </c>
      <c r="G38" s="4" t="s">
        <v>142</v>
      </c>
      <c r="H38" s="4" t="s">
        <v>143</v>
      </c>
      <c r="I38" s="4" t="s">
        <v>70</v>
      </c>
      <c r="J38" s="4" t="str">
        <f>"5895SB0042339"</f>
        <v>5895SB0042339</v>
      </c>
      <c r="K38" s="4" t="s">
        <v>71</v>
      </c>
      <c r="L38" s="4" t="str">
        <f>""</f>
        <v/>
      </c>
      <c r="M38" s="4" t="str">
        <f>""</f>
        <v/>
      </c>
      <c r="N38" s="4" t="s">
        <v>34</v>
      </c>
      <c r="O38" s="3"/>
      <c r="P38" s="3"/>
      <c r="Q38" s="3"/>
      <c r="R38" s="4" t="s">
        <v>35</v>
      </c>
      <c r="S38" s="3"/>
      <c r="T38" s="4" t="str">
        <f>""</f>
        <v/>
      </c>
      <c r="U38" s="4" t="str">
        <f>"NCIA10310751"</f>
        <v>NCIA10310751</v>
      </c>
      <c r="V38" s="4" t="str">
        <f>"TSGT20-O10X"</f>
        <v>TSGT20-O10X</v>
      </c>
      <c r="W38" s="4" t="s">
        <v>36</v>
      </c>
      <c r="X38" s="4" t="str">
        <f>"MC1207"</f>
        <v>MC1207</v>
      </c>
      <c r="Y38" s="4" t="str">
        <f>"TSGT3-UTSGT RMB"</f>
        <v>TSGT3-UTSGT RMB</v>
      </c>
      <c r="Z38" s="4" t="str">
        <f>""</f>
        <v/>
      </c>
      <c r="AA38" s="4" t="str">
        <f>""</f>
        <v/>
      </c>
      <c r="AB38" s="5">
        <v>43465</v>
      </c>
      <c r="AC38" s="4">
        <v>0</v>
      </c>
    </row>
    <row r="39" spans="1:29" ht="14.45" customHeight="1" x14ac:dyDescent="0.25">
      <c r="A39" s="4" t="s">
        <v>25</v>
      </c>
      <c r="B39" s="4" t="s">
        <v>139</v>
      </c>
      <c r="C39" s="4" t="s">
        <v>140</v>
      </c>
      <c r="D39" s="4" t="s">
        <v>28</v>
      </c>
      <c r="E39" s="4" t="s">
        <v>141</v>
      </c>
      <c r="F39" s="4" t="s">
        <v>142</v>
      </c>
      <c r="G39" s="4" t="s">
        <v>142</v>
      </c>
      <c r="H39" s="4" t="s">
        <v>143</v>
      </c>
      <c r="I39" s="4" t="s">
        <v>173</v>
      </c>
      <c r="J39" s="4" t="str">
        <f>"5975SB0001948"</f>
        <v>5975SB0001948</v>
      </c>
      <c r="K39" s="4" t="s">
        <v>174</v>
      </c>
      <c r="L39" s="4" t="str">
        <f>""</f>
        <v/>
      </c>
      <c r="M39" s="4" t="str">
        <f>""</f>
        <v/>
      </c>
      <c r="N39" s="4" t="s">
        <v>34</v>
      </c>
      <c r="O39" s="3"/>
      <c r="P39" s="3"/>
      <c r="Q39" s="3"/>
      <c r="R39" s="4" t="s">
        <v>35</v>
      </c>
      <c r="S39" s="3"/>
      <c r="T39" s="4" t="str">
        <f>"10537-05032"</f>
        <v>10537-05032</v>
      </c>
      <c r="U39" s="4" t="str">
        <f>"NCIAX11174642"</f>
        <v>NCIAX11174642</v>
      </c>
      <c r="V39" s="4" t="str">
        <f>""</f>
        <v/>
      </c>
      <c r="W39" s="4" t="s">
        <v>36</v>
      </c>
      <c r="X39" s="4" t="str">
        <f>"02MQ7"</f>
        <v>02MQ7</v>
      </c>
      <c r="Y39" s="4" t="str">
        <f>"10537-05032"</f>
        <v>10537-05032</v>
      </c>
      <c r="Z39" s="4" t="str">
        <f>""</f>
        <v/>
      </c>
      <c r="AA39" s="4" t="str">
        <f>""</f>
        <v/>
      </c>
      <c r="AB39" s="5">
        <v>43465</v>
      </c>
      <c r="AC39" s="6">
        <v>3113625392</v>
      </c>
    </row>
    <row r="40" spans="1:29" ht="14.45" customHeight="1" x14ac:dyDescent="0.25">
      <c r="A40" s="4" t="s">
        <v>25</v>
      </c>
      <c r="B40" s="4" t="s">
        <v>139</v>
      </c>
      <c r="C40" s="4" t="s">
        <v>140</v>
      </c>
      <c r="D40" s="4" t="s">
        <v>28</v>
      </c>
      <c r="E40" s="4" t="s">
        <v>141</v>
      </c>
      <c r="F40" s="4" t="s">
        <v>142</v>
      </c>
      <c r="G40" s="4" t="s">
        <v>142</v>
      </c>
      <c r="H40" s="4" t="s">
        <v>143</v>
      </c>
      <c r="I40" s="4" t="s">
        <v>54</v>
      </c>
      <c r="J40" s="4" t="str">
        <f>"5975SB0002121"</f>
        <v>5975SB0002121</v>
      </c>
      <c r="K40" s="4" t="s">
        <v>175</v>
      </c>
      <c r="L40" s="4" t="str">
        <f>""</f>
        <v/>
      </c>
      <c r="M40" s="4" t="str">
        <f>""</f>
        <v/>
      </c>
      <c r="N40" s="4" t="s">
        <v>34</v>
      </c>
      <c r="O40" s="3"/>
      <c r="P40" s="3"/>
      <c r="Q40" s="3"/>
      <c r="R40" s="4" t="s">
        <v>35</v>
      </c>
      <c r="S40" s="3"/>
      <c r="T40" s="4" t="str">
        <f>"10537-05022"</f>
        <v>10537-05022</v>
      </c>
      <c r="U40" s="4" t="str">
        <f>"03-116877"</f>
        <v>03-116877</v>
      </c>
      <c r="V40" s="4" t="str">
        <f>"1000293"</f>
        <v>1000293</v>
      </c>
      <c r="W40" s="4" t="s">
        <v>36</v>
      </c>
      <c r="X40" s="4" t="str">
        <f>"02MQ7"</f>
        <v>02MQ7</v>
      </c>
      <c r="Y40" s="4" t="str">
        <f>"10537-05022"</f>
        <v>10537-05022</v>
      </c>
      <c r="Z40" s="4" t="str">
        <f>""</f>
        <v/>
      </c>
      <c r="AA40" s="4" t="str">
        <f>""</f>
        <v/>
      </c>
      <c r="AB40" s="5">
        <v>43465</v>
      </c>
      <c r="AC40" s="4">
        <v>0</v>
      </c>
    </row>
    <row r="41" spans="1:29" ht="14.45" customHeight="1" x14ac:dyDescent="0.25">
      <c r="A41" s="4" t="s">
        <v>25</v>
      </c>
      <c r="B41" s="4" t="s">
        <v>139</v>
      </c>
      <c r="C41" s="4" t="s">
        <v>140</v>
      </c>
      <c r="D41" s="4" t="s">
        <v>28</v>
      </c>
      <c r="E41" s="4" t="s">
        <v>141</v>
      </c>
      <c r="F41" s="4" t="s">
        <v>142</v>
      </c>
      <c r="G41" s="4" t="s">
        <v>142</v>
      </c>
      <c r="H41" s="4" t="s">
        <v>143</v>
      </c>
      <c r="I41" s="4" t="s">
        <v>72</v>
      </c>
      <c r="J41" s="4" t="str">
        <f>"5975SB0002678"</f>
        <v>5975SB0002678</v>
      </c>
      <c r="K41" s="4" t="s">
        <v>73</v>
      </c>
      <c r="L41" s="4" t="str">
        <f>""</f>
        <v/>
      </c>
      <c r="M41" s="4" t="str">
        <f>""</f>
        <v/>
      </c>
      <c r="N41" s="4" t="s">
        <v>34</v>
      </c>
      <c r="O41" s="3"/>
      <c r="P41" s="3"/>
      <c r="Q41" s="3"/>
      <c r="R41" s="4" t="s">
        <v>35</v>
      </c>
      <c r="S41" s="3"/>
      <c r="T41" s="4" t="str">
        <f>"300167"</f>
        <v>300167</v>
      </c>
      <c r="U41" s="4" t="str">
        <f>"03-117247"</f>
        <v>03-117247</v>
      </c>
      <c r="V41" s="4" t="str">
        <f>"2622074-002"</f>
        <v>2622074-002</v>
      </c>
      <c r="W41" s="4" t="s">
        <v>36</v>
      </c>
      <c r="X41" s="4" t="str">
        <f>"59797"</f>
        <v>59797</v>
      </c>
      <c r="Y41" s="4" t="str">
        <f>"300167"</f>
        <v>300167</v>
      </c>
      <c r="Z41" s="4" t="str">
        <f>""</f>
        <v/>
      </c>
      <c r="AA41" s="4" t="str">
        <f>""</f>
        <v/>
      </c>
      <c r="AB41" s="5">
        <v>43465</v>
      </c>
      <c r="AC41" s="4">
        <v>6589.05</v>
      </c>
    </row>
    <row r="42" spans="1:29" ht="14.45" customHeight="1" x14ac:dyDescent="0.25">
      <c r="A42" s="4" t="s">
        <v>25</v>
      </c>
      <c r="B42" s="4" t="s">
        <v>139</v>
      </c>
      <c r="C42" s="4" t="s">
        <v>140</v>
      </c>
      <c r="D42" s="4" t="s">
        <v>28</v>
      </c>
      <c r="E42" s="4" t="s">
        <v>141</v>
      </c>
      <c r="F42" s="4" t="s">
        <v>142</v>
      </c>
      <c r="G42" s="4" t="s">
        <v>142</v>
      </c>
      <c r="H42" s="4" t="s">
        <v>143</v>
      </c>
      <c r="I42" s="4" t="s">
        <v>74</v>
      </c>
      <c r="J42" s="4" t="str">
        <f>"5975SB0003687"</f>
        <v>5975SB0003687</v>
      </c>
      <c r="K42" s="4" t="s">
        <v>75</v>
      </c>
      <c r="L42" s="4" t="str">
        <f>""</f>
        <v/>
      </c>
      <c r="M42" s="4" t="str">
        <f>""</f>
        <v/>
      </c>
      <c r="N42" s="4" t="s">
        <v>34</v>
      </c>
      <c r="O42" s="3"/>
      <c r="P42" s="3"/>
      <c r="Q42" s="3"/>
      <c r="R42" s="4" t="s">
        <v>35</v>
      </c>
      <c r="S42" s="3"/>
      <c r="T42" s="4" t="str">
        <f>"10537-08012"</f>
        <v>10537-08012</v>
      </c>
      <c r="U42" s="4" t="str">
        <f>"03-116902"</f>
        <v>03-116902</v>
      </c>
      <c r="V42" s="4" t="str">
        <f>"J2670C"</f>
        <v>J2670C</v>
      </c>
      <c r="W42" s="4" t="s">
        <v>36</v>
      </c>
      <c r="X42" s="4" t="str">
        <f>"02MQ7"</f>
        <v>02MQ7</v>
      </c>
      <c r="Y42" s="4" t="str">
        <f>"10537-08012"</f>
        <v>10537-08012</v>
      </c>
      <c r="Z42" s="4" t="str">
        <f>""</f>
        <v/>
      </c>
      <c r="AA42" s="4" t="str">
        <f>""</f>
        <v/>
      </c>
      <c r="AB42" s="5">
        <v>43465</v>
      </c>
      <c r="AC42" s="4">
        <v>3827</v>
      </c>
    </row>
    <row r="43" spans="1:29" ht="14.45" customHeight="1" x14ac:dyDescent="0.25">
      <c r="A43" s="4" t="s">
        <v>25</v>
      </c>
      <c r="B43" s="4" t="s">
        <v>139</v>
      </c>
      <c r="C43" s="4" t="s">
        <v>140</v>
      </c>
      <c r="D43" s="4" t="s">
        <v>28</v>
      </c>
      <c r="E43" s="4" t="s">
        <v>141</v>
      </c>
      <c r="F43" s="4" t="s">
        <v>142</v>
      </c>
      <c r="G43" s="4" t="s">
        <v>142</v>
      </c>
      <c r="H43" s="4" t="s">
        <v>143</v>
      </c>
      <c r="I43" s="4" t="s">
        <v>54</v>
      </c>
      <c r="J43" s="4" t="str">
        <f>"5975SB0004007"</f>
        <v>5975SB0004007</v>
      </c>
      <c r="K43" s="4" t="s">
        <v>176</v>
      </c>
      <c r="L43" s="4" t="str">
        <f>""</f>
        <v/>
      </c>
      <c r="M43" s="4" t="str">
        <f>""</f>
        <v/>
      </c>
      <c r="N43" s="4" t="s">
        <v>34</v>
      </c>
      <c r="O43" s="3"/>
      <c r="P43" s="3"/>
      <c r="Q43" s="3"/>
      <c r="R43" s="4" t="s">
        <v>35</v>
      </c>
      <c r="S43" s="3"/>
      <c r="T43" s="4" t="str">
        <f>"10537-05027"</f>
        <v>10537-05027</v>
      </c>
      <c r="U43" s="4" t="str">
        <f>"03-116890"</f>
        <v>03-116890</v>
      </c>
      <c r="V43" s="4" t="str">
        <f>"1000409"</f>
        <v>1000409</v>
      </c>
      <c r="W43" s="4" t="s">
        <v>36</v>
      </c>
      <c r="X43" s="4" t="str">
        <f>"02MQ7"</f>
        <v>02MQ7</v>
      </c>
      <c r="Y43" s="4" t="str">
        <f>"10537-05027"</f>
        <v>10537-05027</v>
      </c>
      <c r="Z43" s="4" t="str">
        <f>""</f>
        <v/>
      </c>
      <c r="AA43" s="4" t="str">
        <f>""</f>
        <v/>
      </c>
      <c r="AB43" s="5">
        <v>43465</v>
      </c>
      <c r="AC43" s="6">
        <v>7617365</v>
      </c>
    </row>
    <row r="44" spans="1:29" ht="14.45" customHeight="1" x14ac:dyDescent="0.25">
      <c r="A44" s="4" t="s">
        <v>25</v>
      </c>
      <c r="B44" s="4" t="s">
        <v>139</v>
      </c>
      <c r="C44" s="4" t="s">
        <v>140</v>
      </c>
      <c r="D44" s="4" t="s">
        <v>28</v>
      </c>
      <c r="E44" s="4" t="s">
        <v>141</v>
      </c>
      <c r="F44" s="4" t="s">
        <v>142</v>
      </c>
      <c r="G44" s="4" t="s">
        <v>142</v>
      </c>
      <c r="H44" s="4" t="s">
        <v>143</v>
      </c>
      <c r="I44" s="4" t="s">
        <v>160</v>
      </c>
      <c r="J44" s="4" t="str">
        <f>"5975SB0004058"</f>
        <v>5975SB0004058</v>
      </c>
      <c r="K44" s="4" t="s">
        <v>177</v>
      </c>
      <c r="L44" s="4" t="str">
        <f>""</f>
        <v/>
      </c>
      <c r="M44" s="4" t="str">
        <f>""</f>
        <v/>
      </c>
      <c r="N44" s="4" t="s">
        <v>34</v>
      </c>
      <c r="O44" s="3"/>
      <c r="P44" s="3"/>
      <c r="Q44" s="3"/>
      <c r="R44" s="4" t="s">
        <v>35</v>
      </c>
      <c r="S44" s="3"/>
      <c r="T44" s="4" t="str">
        <f>"5975151747289"</f>
        <v>5975151747289</v>
      </c>
      <c r="U44" s="4" t="str">
        <f>"NCIAX11175283"</f>
        <v>NCIAX11175283</v>
      </c>
      <c r="V44" s="4" t="str">
        <f>""</f>
        <v/>
      </c>
      <c r="W44" s="4" t="s">
        <v>36</v>
      </c>
      <c r="X44" s="4" t="str">
        <f>"A3682"</f>
        <v>A3682</v>
      </c>
      <c r="Y44" s="4" t="str">
        <f>"825-4012-302"</f>
        <v>825-4012-302</v>
      </c>
      <c r="Z44" s="4" t="str">
        <f>""</f>
        <v/>
      </c>
      <c r="AA44" s="4" t="str">
        <f>""</f>
        <v/>
      </c>
      <c r="AB44" s="5">
        <v>43465</v>
      </c>
      <c r="AC44" s="4">
        <v>0</v>
      </c>
    </row>
    <row r="45" spans="1:29" ht="14.45" customHeight="1" x14ac:dyDescent="0.25">
      <c r="A45" s="4" t="s">
        <v>25</v>
      </c>
      <c r="B45" s="4" t="s">
        <v>139</v>
      </c>
      <c r="C45" s="4" t="s">
        <v>140</v>
      </c>
      <c r="D45" s="4" t="s">
        <v>28</v>
      </c>
      <c r="E45" s="4" t="s">
        <v>141</v>
      </c>
      <c r="F45" s="4" t="s">
        <v>142</v>
      </c>
      <c r="G45" s="4" t="s">
        <v>142</v>
      </c>
      <c r="H45" s="4" t="s">
        <v>143</v>
      </c>
      <c r="I45" s="4" t="s">
        <v>178</v>
      </c>
      <c r="J45" s="4" t="str">
        <f>"5975SB0004147"</f>
        <v>5975SB0004147</v>
      </c>
      <c r="K45" s="4" t="s">
        <v>179</v>
      </c>
      <c r="L45" s="4" t="str">
        <f>""</f>
        <v/>
      </c>
      <c r="M45" s="4" t="str">
        <f>""</f>
        <v/>
      </c>
      <c r="N45" s="4" t="s">
        <v>34</v>
      </c>
      <c r="O45" s="3"/>
      <c r="P45" s="3"/>
      <c r="Q45" s="3"/>
      <c r="R45" s="4" t="s">
        <v>35</v>
      </c>
      <c r="S45" s="3"/>
      <c r="T45" s="4" t="str">
        <f>"0787020001000"</f>
        <v>0787020001000</v>
      </c>
      <c r="U45" s="4" t="str">
        <f>"NCIAX11175320"</f>
        <v>NCIAX11175320</v>
      </c>
      <c r="V45" s="4" t="str">
        <f>"001"</f>
        <v>001</v>
      </c>
      <c r="W45" s="4" t="s">
        <v>36</v>
      </c>
      <c r="X45" s="4" t="str">
        <f>"0177B"</f>
        <v>0177B</v>
      </c>
      <c r="Y45" s="4" t="str">
        <f>"0787020001000"</f>
        <v>0787020001000</v>
      </c>
      <c r="Z45" s="4" t="str">
        <f>""</f>
        <v/>
      </c>
      <c r="AA45" s="4" t="str">
        <f>""</f>
        <v/>
      </c>
      <c r="AB45" s="5">
        <v>43465</v>
      </c>
      <c r="AC45" s="4">
        <v>0</v>
      </c>
    </row>
    <row r="46" spans="1:29" ht="14.45" customHeight="1" x14ac:dyDescent="0.25">
      <c r="A46" s="4" t="s">
        <v>25</v>
      </c>
      <c r="B46" s="4" t="s">
        <v>139</v>
      </c>
      <c r="C46" s="4" t="s">
        <v>140</v>
      </c>
      <c r="D46" s="4" t="s">
        <v>28</v>
      </c>
      <c r="E46" s="4" t="s">
        <v>141</v>
      </c>
      <c r="F46" s="4" t="s">
        <v>142</v>
      </c>
      <c r="G46" s="4" t="s">
        <v>142</v>
      </c>
      <c r="H46" s="4" t="s">
        <v>143</v>
      </c>
      <c r="I46" s="4" t="s">
        <v>160</v>
      </c>
      <c r="J46" s="4" t="str">
        <f>"5975SB0004430"</f>
        <v>5975SB0004430</v>
      </c>
      <c r="K46" s="4" t="s">
        <v>180</v>
      </c>
      <c r="L46" s="4" t="str">
        <f>""</f>
        <v/>
      </c>
      <c r="M46" s="4" t="str">
        <f>""</f>
        <v/>
      </c>
      <c r="N46" s="4" t="s">
        <v>34</v>
      </c>
      <c r="O46" s="3"/>
      <c r="P46" s="3"/>
      <c r="Q46" s="3"/>
      <c r="R46" s="4" t="s">
        <v>35</v>
      </c>
      <c r="S46" s="3"/>
      <c r="T46" s="4" t="str">
        <f>"825-3020-101"</f>
        <v>825-3020-101</v>
      </c>
      <c r="U46" s="4" t="str">
        <f>"NCIAX11175370"</f>
        <v>NCIAX11175370</v>
      </c>
      <c r="V46" s="4" t="str">
        <f>""</f>
        <v/>
      </c>
      <c r="W46" s="4" t="s">
        <v>36</v>
      </c>
      <c r="X46" s="4" t="str">
        <f>"A3682"</f>
        <v>A3682</v>
      </c>
      <c r="Y46" s="4" t="str">
        <f>"825-3020-101"</f>
        <v>825-3020-101</v>
      </c>
      <c r="Z46" s="4" t="str">
        <f>""</f>
        <v/>
      </c>
      <c r="AA46" s="4" t="str">
        <f>""</f>
        <v/>
      </c>
      <c r="AB46" s="5">
        <v>43465</v>
      </c>
      <c r="AC46" s="4">
        <v>0</v>
      </c>
    </row>
    <row r="47" spans="1:29" ht="14.45" customHeight="1" x14ac:dyDescent="0.25">
      <c r="A47" s="4" t="s">
        <v>25</v>
      </c>
      <c r="B47" s="4" t="s">
        <v>139</v>
      </c>
      <c r="C47" s="4" t="s">
        <v>140</v>
      </c>
      <c r="D47" s="4" t="s">
        <v>28</v>
      </c>
      <c r="E47" s="4" t="s">
        <v>141</v>
      </c>
      <c r="F47" s="4" t="s">
        <v>142</v>
      </c>
      <c r="G47" s="4" t="s">
        <v>142</v>
      </c>
      <c r="H47" s="4" t="s">
        <v>143</v>
      </c>
      <c r="I47" s="4" t="s">
        <v>181</v>
      </c>
      <c r="J47" s="4" t="str">
        <f>"5975SB0017671"</f>
        <v>5975SB0017671</v>
      </c>
      <c r="K47" s="4" t="s">
        <v>182</v>
      </c>
      <c r="L47" s="4" t="str">
        <f>""</f>
        <v/>
      </c>
      <c r="M47" s="4" t="str">
        <f>""</f>
        <v/>
      </c>
      <c r="N47" s="4" t="s">
        <v>34</v>
      </c>
      <c r="O47" s="3"/>
      <c r="P47" s="3"/>
      <c r="Q47" s="3"/>
      <c r="R47" s="4" t="s">
        <v>35</v>
      </c>
      <c r="S47" s="3"/>
      <c r="T47" s="4" t="str">
        <f>"OL-TR3-20"</f>
        <v>OL-TR3-20</v>
      </c>
      <c r="U47" s="4" t="str">
        <f>"NCIAX11177068"</f>
        <v>NCIAX11177068</v>
      </c>
      <c r="V47" s="4" t="str">
        <f>""</f>
        <v/>
      </c>
      <c r="W47" s="4" t="s">
        <v>36</v>
      </c>
      <c r="X47" s="4" t="str">
        <f>"33592"</f>
        <v>33592</v>
      </c>
      <c r="Y47" s="4" t="str">
        <f>"OL-TR3-20"</f>
        <v>OL-TR3-20</v>
      </c>
      <c r="Z47" s="4" t="str">
        <f>""</f>
        <v/>
      </c>
      <c r="AA47" s="4" t="str">
        <f>""</f>
        <v/>
      </c>
      <c r="AB47" s="5">
        <v>43465</v>
      </c>
      <c r="AC47" s="4">
        <v>0</v>
      </c>
    </row>
    <row r="48" spans="1:29" ht="14.45" customHeight="1" x14ac:dyDescent="0.25">
      <c r="A48" s="4" t="s">
        <v>25</v>
      </c>
      <c r="B48" s="4" t="s">
        <v>139</v>
      </c>
      <c r="C48" s="4" t="s">
        <v>140</v>
      </c>
      <c r="D48" s="4" t="s">
        <v>28</v>
      </c>
      <c r="E48" s="4" t="s">
        <v>141</v>
      </c>
      <c r="F48" s="4" t="s">
        <v>142</v>
      </c>
      <c r="G48" s="4" t="s">
        <v>142</v>
      </c>
      <c r="H48" s="4" t="s">
        <v>143</v>
      </c>
      <c r="I48" s="4" t="s">
        <v>181</v>
      </c>
      <c r="J48" s="4" t="str">
        <f>"5975SB0017671"</f>
        <v>5975SB0017671</v>
      </c>
      <c r="K48" s="4" t="s">
        <v>182</v>
      </c>
      <c r="L48" s="4" t="str">
        <f>""</f>
        <v/>
      </c>
      <c r="M48" s="4" t="str">
        <f>""</f>
        <v/>
      </c>
      <c r="N48" s="4" t="s">
        <v>34</v>
      </c>
      <c r="O48" s="3"/>
      <c r="P48" s="3"/>
      <c r="Q48" s="3"/>
      <c r="R48" s="4" t="s">
        <v>35</v>
      </c>
      <c r="S48" s="3"/>
      <c r="T48" s="4" t="str">
        <f>"OL-TR3-20"</f>
        <v>OL-TR3-20</v>
      </c>
      <c r="U48" s="4" t="str">
        <f>"NCIAX11177069"</f>
        <v>NCIAX11177069</v>
      </c>
      <c r="V48" s="4" t="str">
        <f>""</f>
        <v/>
      </c>
      <c r="W48" s="4" t="s">
        <v>36</v>
      </c>
      <c r="X48" s="4" t="str">
        <f>"33592"</f>
        <v>33592</v>
      </c>
      <c r="Y48" s="4" t="str">
        <f>"OL-TR3-20"</f>
        <v>OL-TR3-20</v>
      </c>
      <c r="Z48" s="4" t="str">
        <f>""</f>
        <v/>
      </c>
      <c r="AA48" s="4" t="str">
        <f>""</f>
        <v/>
      </c>
      <c r="AB48" s="5">
        <v>43465</v>
      </c>
      <c r="AC48" s="4">
        <v>0</v>
      </c>
    </row>
    <row r="49" spans="1:29" ht="14.45" customHeight="1" x14ac:dyDescent="0.25">
      <c r="A49" s="4" t="s">
        <v>25</v>
      </c>
      <c r="B49" s="4" t="s">
        <v>139</v>
      </c>
      <c r="C49" s="4" t="s">
        <v>140</v>
      </c>
      <c r="D49" s="4" t="s">
        <v>28</v>
      </c>
      <c r="E49" s="4" t="s">
        <v>141</v>
      </c>
      <c r="F49" s="4" t="s">
        <v>142</v>
      </c>
      <c r="G49" s="4" t="s">
        <v>142</v>
      </c>
      <c r="H49" s="4" t="s">
        <v>143</v>
      </c>
      <c r="I49" s="4" t="s">
        <v>158</v>
      </c>
      <c r="J49" s="4" t="str">
        <f>"5975SB0018498"</f>
        <v>5975SB0018498</v>
      </c>
      <c r="K49" s="4" t="s">
        <v>183</v>
      </c>
      <c r="L49" s="4" t="str">
        <f>""</f>
        <v/>
      </c>
      <c r="M49" s="4" t="str">
        <f>""</f>
        <v/>
      </c>
      <c r="N49" s="4" t="s">
        <v>34</v>
      </c>
      <c r="O49" s="3"/>
      <c r="P49" s="3"/>
      <c r="Q49" s="3"/>
      <c r="R49" s="4" t="s">
        <v>35</v>
      </c>
      <c r="S49" s="3"/>
      <c r="T49" s="4" t="str">
        <f>"5895151746547"</f>
        <v>5895151746547</v>
      </c>
      <c r="U49" s="4" t="str">
        <f>"NCIAX11177126"</f>
        <v>NCIAX11177126</v>
      </c>
      <c r="V49" s="4" t="str">
        <f>""</f>
        <v/>
      </c>
      <c r="W49" s="4" t="s">
        <v>36</v>
      </c>
      <c r="X49" s="4" t="str">
        <f>"A3682"</f>
        <v>A3682</v>
      </c>
      <c r="Y49" s="4" t="str">
        <f>"825-3010-T001"</f>
        <v>825-3010-T001</v>
      </c>
      <c r="Z49" s="4" t="str">
        <f>""</f>
        <v/>
      </c>
      <c r="AA49" s="4" t="str">
        <f>""</f>
        <v/>
      </c>
      <c r="AB49" s="5">
        <v>43465</v>
      </c>
      <c r="AC49" s="4">
        <v>0</v>
      </c>
    </row>
    <row r="50" spans="1:29" ht="14.45" customHeight="1" x14ac:dyDescent="0.25">
      <c r="A50" s="4" t="s">
        <v>25</v>
      </c>
      <c r="B50" s="4" t="s">
        <v>139</v>
      </c>
      <c r="C50" s="4" t="s">
        <v>140</v>
      </c>
      <c r="D50" s="4" t="s">
        <v>28</v>
      </c>
      <c r="E50" s="4" t="s">
        <v>141</v>
      </c>
      <c r="F50" s="4" t="s">
        <v>142</v>
      </c>
      <c r="G50" s="4" t="s">
        <v>142</v>
      </c>
      <c r="H50" s="4" t="s">
        <v>143</v>
      </c>
      <c r="I50" s="4" t="s">
        <v>160</v>
      </c>
      <c r="J50" s="4" t="str">
        <f>"5985SB0001983"</f>
        <v>5985SB0001983</v>
      </c>
      <c r="K50" s="4" t="s">
        <v>184</v>
      </c>
      <c r="L50" s="4" t="str">
        <f>""</f>
        <v/>
      </c>
      <c r="M50" s="4" t="str">
        <f>""</f>
        <v/>
      </c>
      <c r="N50" s="4" t="s">
        <v>34</v>
      </c>
      <c r="O50" s="3"/>
      <c r="P50" s="3"/>
      <c r="Q50" s="3"/>
      <c r="R50" s="4" t="s">
        <v>35</v>
      </c>
      <c r="S50" s="3"/>
      <c r="T50" s="4" t="str">
        <f>"5985151747287"</f>
        <v>5985151747287</v>
      </c>
      <c r="U50" s="4" t="str">
        <f>"NCIAX11177208"</f>
        <v>NCIAX11177208</v>
      </c>
      <c r="V50" s="4" t="str">
        <f>""</f>
        <v/>
      </c>
      <c r="W50" s="4" t="s">
        <v>36</v>
      </c>
      <c r="X50" s="4" t="str">
        <f>"A3682"</f>
        <v>A3682</v>
      </c>
      <c r="Y50" s="4" t="str">
        <f>"825-4012-002"</f>
        <v>825-4012-002</v>
      </c>
      <c r="Z50" s="4" t="str">
        <f>""</f>
        <v/>
      </c>
      <c r="AA50" s="4" t="str">
        <f>""</f>
        <v/>
      </c>
      <c r="AB50" s="5">
        <v>43465</v>
      </c>
      <c r="AC50" s="4">
        <v>0</v>
      </c>
    </row>
    <row r="51" spans="1:29" ht="14.45" customHeight="1" x14ac:dyDescent="0.25">
      <c r="A51" s="4" t="s">
        <v>25</v>
      </c>
      <c r="B51" s="4" t="s">
        <v>139</v>
      </c>
      <c r="C51" s="4" t="s">
        <v>140</v>
      </c>
      <c r="D51" s="4" t="s">
        <v>28</v>
      </c>
      <c r="E51" s="4" t="s">
        <v>141</v>
      </c>
      <c r="F51" s="4" t="s">
        <v>142</v>
      </c>
      <c r="G51" s="4" t="s">
        <v>142</v>
      </c>
      <c r="H51" s="4" t="s">
        <v>143</v>
      </c>
      <c r="I51" s="4" t="s">
        <v>160</v>
      </c>
      <c r="J51" s="4" t="str">
        <f>"5985SB0002070"</f>
        <v>5985SB0002070</v>
      </c>
      <c r="K51" s="4" t="s">
        <v>185</v>
      </c>
      <c r="L51" s="4" t="str">
        <f>""</f>
        <v/>
      </c>
      <c r="M51" s="4" t="str">
        <f>""</f>
        <v/>
      </c>
      <c r="N51" s="4" t="s">
        <v>34</v>
      </c>
      <c r="O51" s="3"/>
      <c r="P51" s="3"/>
      <c r="Q51" s="3"/>
      <c r="R51" s="4" t="s">
        <v>35</v>
      </c>
      <c r="S51" s="3"/>
      <c r="T51" s="4" t="str">
        <f>"5985151747330"</f>
        <v>5985151747330</v>
      </c>
      <c r="U51" s="4" t="str">
        <f>"NCIAX11177232"</f>
        <v>NCIAX11177232</v>
      </c>
      <c r="V51" s="4" t="str">
        <f>""</f>
        <v/>
      </c>
      <c r="W51" s="4" t="s">
        <v>36</v>
      </c>
      <c r="X51" s="4" t="str">
        <f>"A3682"</f>
        <v>A3682</v>
      </c>
      <c r="Y51" s="4" t="str">
        <f>"825-3020-020"</f>
        <v>825-3020-020</v>
      </c>
      <c r="Z51" s="4" t="str">
        <f>""</f>
        <v/>
      </c>
      <c r="AA51" s="4" t="str">
        <f>""</f>
        <v/>
      </c>
      <c r="AB51" s="5">
        <v>43465</v>
      </c>
      <c r="AC51" s="4">
        <v>0</v>
      </c>
    </row>
    <row r="52" spans="1:29" ht="14.45" customHeight="1" x14ac:dyDescent="0.25">
      <c r="A52" s="4" t="s">
        <v>25</v>
      </c>
      <c r="B52" s="4" t="s">
        <v>139</v>
      </c>
      <c r="C52" s="4" t="s">
        <v>140</v>
      </c>
      <c r="D52" s="4" t="s">
        <v>28</v>
      </c>
      <c r="E52" s="4" t="s">
        <v>141</v>
      </c>
      <c r="F52" s="4" t="s">
        <v>142</v>
      </c>
      <c r="G52" s="4" t="s">
        <v>142</v>
      </c>
      <c r="H52" s="4" t="s">
        <v>143</v>
      </c>
      <c r="I52" s="4" t="s">
        <v>160</v>
      </c>
      <c r="J52" s="4" t="str">
        <f>"5985SB0002119"</f>
        <v>5985SB0002119</v>
      </c>
      <c r="K52" s="4" t="s">
        <v>186</v>
      </c>
      <c r="L52" s="4" t="str">
        <f>""</f>
        <v/>
      </c>
      <c r="M52" s="4" t="str">
        <f>""</f>
        <v/>
      </c>
      <c r="N52" s="4" t="s">
        <v>34</v>
      </c>
      <c r="O52" s="3"/>
      <c r="P52" s="3"/>
      <c r="Q52" s="3"/>
      <c r="R52" s="4" t="s">
        <v>35</v>
      </c>
      <c r="S52" s="3"/>
      <c r="T52" s="4" t="str">
        <f>"5985151634659"</f>
        <v>5985151634659</v>
      </c>
      <c r="U52" s="4" t="str">
        <f>"NCIAX11177240"</f>
        <v>NCIAX11177240</v>
      </c>
      <c r="V52" s="4" t="str">
        <f>"001"</f>
        <v>001</v>
      </c>
      <c r="W52" s="4" t="s">
        <v>36</v>
      </c>
      <c r="X52" s="4" t="str">
        <f>"A3682"</f>
        <v>A3682</v>
      </c>
      <c r="Y52" s="4" t="str">
        <f>"825-2020-001"</f>
        <v>825-2020-001</v>
      </c>
      <c r="Z52" s="4" t="str">
        <f>""</f>
        <v/>
      </c>
      <c r="AA52" s="4" t="str">
        <f>""</f>
        <v/>
      </c>
      <c r="AB52" s="5">
        <v>43465</v>
      </c>
      <c r="AC52" s="4">
        <v>0</v>
      </c>
    </row>
    <row r="53" spans="1:29" ht="14.45" customHeight="1" x14ac:dyDescent="0.25">
      <c r="A53" s="4" t="s">
        <v>25</v>
      </c>
      <c r="B53" s="4" t="s">
        <v>139</v>
      </c>
      <c r="C53" s="4" t="s">
        <v>140</v>
      </c>
      <c r="D53" s="4" t="s">
        <v>28</v>
      </c>
      <c r="E53" s="4" t="s">
        <v>141</v>
      </c>
      <c r="F53" s="4" t="s">
        <v>142</v>
      </c>
      <c r="G53" s="4" t="s">
        <v>142</v>
      </c>
      <c r="H53" s="4" t="s">
        <v>143</v>
      </c>
      <c r="I53" s="4" t="s">
        <v>61</v>
      </c>
      <c r="J53" s="4" t="str">
        <f>"5985SB0002132"</f>
        <v>5985SB0002132</v>
      </c>
      <c r="K53" s="4" t="s">
        <v>187</v>
      </c>
      <c r="L53" s="4" t="str">
        <f>""</f>
        <v/>
      </c>
      <c r="M53" s="4" t="str">
        <f>""</f>
        <v/>
      </c>
      <c r="N53" s="4" t="s">
        <v>34</v>
      </c>
      <c r="O53" s="3"/>
      <c r="P53" s="3"/>
      <c r="Q53" s="3"/>
      <c r="R53" s="4" t="s">
        <v>35</v>
      </c>
      <c r="S53" s="3"/>
      <c r="T53" s="4" t="str">
        <f>"10537-05021"</f>
        <v>10537-05021</v>
      </c>
      <c r="U53" s="4" t="str">
        <f>"03-116862"</f>
        <v>03-116862</v>
      </c>
      <c r="V53" s="4" t="str">
        <f>"1000535"</f>
        <v>1000535</v>
      </c>
      <c r="W53" s="4" t="s">
        <v>36</v>
      </c>
      <c r="X53" s="4" t="str">
        <f>"02MQ7"</f>
        <v>02MQ7</v>
      </c>
      <c r="Y53" s="4" t="str">
        <f>"10537-05021"</f>
        <v>10537-05021</v>
      </c>
      <c r="Z53" s="4" t="str">
        <f>""</f>
        <v/>
      </c>
      <c r="AA53" s="4" t="str">
        <f>""</f>
        <v/>
      </c>
      <c r="AB53" s="5">
        <v>43465</v>
      </c>
      <c r="AC53" s="4">
        <v>0</v>
      </c>
    </row>
    <row r="54" spans="1:29" ht="14.45" customHeight="1" x14ac:dyDescent="0.25">
      <c r="A54" s="4" t="s">
        <v>25</v>
      </c>
      <c r="B54" s="4" t="s">
        <v>139</v>
      </c>
      <c r="C54" s="4" t="s">
        <v>140</v>
      </c>
      <c r="D54" s="4" t="s">
        <v>28</v>
      </c>
      <c r="E54" s="4" t="s">
        <v>141</v>
      </c>
      <c r="F54" s="4" t="s">
        <v>142</v>
      </c>
      <c r="G54" s="4" t="s">
        <v>142</v>
      </c>
      <c r="H54" s="4" t="s">
        <v>143</v>
      </c>
      <c r="I54" s="4" t="s">
        <v>77</v>
      </c>
      <c r="J54" s="4" t="str">
        <f>"5985SB0002170"</f>
        <v>5985SB0002170</v>
      </c>
      <c r="K54" s="4" t="s">
        <v>78</v>
      </c>
      <c r="L54" s="4" t="str">
        <f>""</f>
        <v/>
      </c>
      <c r="M54" s="4" t="str">
        <f>""</f>
        <v/>
      </c>
      <c r="N54" s="4" t="s">
        <v>34</v>
      </c>
      <c r="O54" s="3"/>
      <c r="P54" s="3"/>
      <c r="Q54" s="3"/>
      <c r="R54" s="4" t="s">
        <v>35</v>
      </c>
      <c r="S54" s="3"/>
      <c r="T54" s="4" t="str">
        <f>"5985015847796"</f>
        <v>5985015847796</v>
      </c>
      <c r="U54" s="4" t="str">
        <f>"03-115725"</f>
        <v>03-115725</v>
      </c>
      <c r="V54" s="4" t="str">
        <f>"VCN0912171"</f>
        <v>VCN0912171</v>
      </c>
      <c r="W54" s="4" t="s">
        <v>36</v>
      </c>
      <c r="X54" s="4" t="str">
        <f>"0P0N7"</f>
        <v>0P0N7</v>
      </c>
      <c r="Y54" s="4" t="str">
        <f>"99-319-1100-18"</f>
        <v>99-319-1100-18</v>
      </c>
      <c r="Z54" s="4" t="str">
        <f>""</f>
        <v/>
      </c>
      <c r="AA54" s="4" t="str">
        <f>""</f>
        <v/>
      </c>
      <c r="AB54" s="5">
        <v>43465</v>
      </c>
      <c r="AC54" s="4">
        <v>0</v>
      </c>
    </row>
    <row r="55" spans="1:29" ht="14.45" customHeight="1" x14ac:dyDescent="0.25">
      <c r="A55" s="4" t="s">
        <v>25</v>
      </c>
      <c r="B55" s="4" t="s">
        <v>139</v>
      </c>
      <c r="C55" s="4" t="s">
        <v>140</v>
      </c>
      <c r="D55" s="4" t="s">
        <v>28</v>
      </c>
      <c r="E55" s="4" t="s">
        <v>141</v>
      </c>
      <c r="F55" s="4" t="s">
        <v>142</v>
      </c>
      <c r="G55" s="4" t="s">
        <v>142</v>
      </c>
      <c r="H55" s="4" t="s">
        <v>143</v>
      </c>
      <c r="I55" s="4" t="s">
        <v>160</v>
      </c>
      <c r="J55" s="4" t="str">
        <f>"5985SB0003589"</f>
        <v>5985SB0003589</v>
      </c>
      <c r="K55" s="4" t="s">
        <v>188</v>
      </c>
      <c r="L55" s="4" t="str">
        <f>""</f>
        <v/>
      </c>
      <c r="M55" s="4" t="str">
        <f>""</f>
        <v/>
      </c>
      <c r="N55" s="4" t="s">
        <v>34</v>
      </c>
      <c r="O55" s="3"/>
      <c r="P55" s="3"/>
      <c r="Q55" s="3"/>
      <c r="R55" s="4" t="s">
        <v>35</v>
      </c>
      <c r="S55" s="3"/>
      <c r="T55" s="4" t="str">
        <f>"5985151747339"</f>
        <v>5985151747339</v>
      </c>
      <c r="U55" s="4" t="str">
        <f>"NCIAX11177295"</f>
        <v>NCIAX11177295</v>
      </c>
      <c r="V55" s="4" t="str">
        <f>""</f>
        <v/>
      </c>
      <c r="W55" s="4" t="s">
        <v>36</v>
      </c>
      <c r="X55" s="4" t="str">
        <f>"A3682"</f>
        <v>A3682</v>
      </c>
      <c r="Y55" s="4" t="str">
        <f>"825-4033-020"</f>
        <v>825-4033-020</v>
      </c>
      <c r="Z55" s="4" t="str">
        <f>""</f>
        <v/>
      </c>
      <c r="AA55" s="4" t="str">
        <f>""</f>
        <v/>
      </c>
      <c r="AB55" s="5">
        <v>43465</v>
      </c>
      <c r="AC55" s="4">
        <v>0</v>
      </c>
    </row>
    <row r="56" spans="1:29" ht="14.45" customHeight="1" x14ac:dyDescent="0.25">
      <c r="A56" s="4" t="s">
        <v>25</v>
      </c>
      <c r="B56" s="4" t="s">
        <v>139</v>
      </c>
      <c r="C56" s="4" t="s">
        <v>140</v>
      </c>
      <c r="D56" s="4" t="s">
        <v>28</v>
      </c>
      <c r="E56" s="4" t="s">
        <v>141</v>
      </c>
      <c r="F56" s="4" t="s">
        <v>142</v>
      </c>
      <c r="G56" s="4" t="s">
        <v>142</v>
      </c>
      <c r="H56" s="4" t="s">
        <v>143</v>
      </c>
      <c r="I56" s="4" t="s">
        <v>189</v>
      </c>
      <c r="J56" s="4" t="str">
        <f>"5985SB0004033"</f>
        <v>5985SB0004033</v>
      </c>
      <c r="K56" s="4" t="s">
        <v>190</v>
      </c>
      <c r="L56" s="4" t="str">
        <f>""</f>
        <v/>
      </c>
      <c r="M56" s="4" t="str">
        <f>""</f>
        <v/>
      </c>
      <c r="N56" s="4" t="s">
        <v>34</v>
      </c>
      <c r="O56" s="3"/>
      <c r="P56" s="3"/>
      <c r="Q56" s="3"/>
      <c r="R56" s="4" t="s">
        <v>35</v>
      </c>
      <c r="S56" s="3"/>
      <c r="T56" s="4" t="str">
        <f>"5985151507401"</f>
        <v>5985151507401</v>
      </c>
      <c r="U56" s="4" t="str">
        <f>"NCIAX11177320"</f>
        <v>NCIAX11177320</v>
      </c>
      <c r="V56" s="4" t="str">
        <f>""</f>
        <v/>
      </c>
      <c r="W56" s="4" t="s">
        <v>36</v>
      </c>
      <c r="X56" s="4" t="str">
        <f>"A7904"</f>
        <v>A7904</v>
      </c>
      <c r="Y56" s="4" t="str">
        <f>"A3002-A1"</f>
        <v>A3002-A1</v>
      </c>
      <c r="Z56" s="4" t="str">
        <f>""</f>
        <v/>
      </c>
      <c r="AA56" s="4" t="str">
        <f>""</f>
        <v/>
      </c>
      <c r="AB56" s="5">
        <v>43465</v>
      </c>
      <c r="AC56" s="4">
        <v>0</v>
      </c>
    </row>
    <row r="57" spans="1:29" ht="14.45" customHeight="1" x14ac:dyDescent="0.25">
      <c r="A57" s="4" t="s">
        <v>25</v>
      </c>
      <c r="B57" s="4" t="s">
        <v>139</v>
      </c>
      <c r="C57" s="4" t="s">
        <v>140</v>
      </c>
      <c r="D57" s="4" t="s">
        <v>28</v>
      </c>
      <c r="E57" s="4" t="s">
        <v>141</v>
      </c>
      <c r="F57" s="4" t="s">
        <v>142</v>
      </c>
      <c r="G57" s="4" t="s">
        <v>142</v>
      </c>
      <c r="H57" s="4" t="s">
        <v>143</v>
      </c>
      <c r="I57" s="4" t="s">
        <v>160</v>
      </c>
      <c r="J57" s="4" t="str">
        <f>"5985SB0004972"</f>
        <v>5985SB0004972</v>
      </c>
      <c r="K57" s="4" t="s">
        <v>191</v>
      </c>
      <c r="L57" s="4" t="str">
        <f>""</f>
        <v/>
      </c>
      <c r="M57" s="4" t="str">
        <f>""</f>
        <v/>
      </c>
      <c r="N57" s="4" t="s">
        <v>34</v>
      </c>
      <c r="O57" s="3"/>
      <c r="P57" s="3"/>
      <c r="Q57" s="3"/>
      <c r="R57" s="4" t="s">
        <v>35</v>
      </c>
      <c r="S57" s="3"/>
      <c r="T57" s="4" t="str">
        <f>"825-5860-110"</f>
        <v>825-5860-110</v>
      </c>
      <c r="U57" s="4" t="str">
        <f>"NCIAX11177350"</f>
        <v>NCIAX11177350</v>
      </c>
      <c r="V57" s="4" t="str">
        <f>""</f>
        <v/>
      </c>
      <c r="W57" s="4" t="s">
        <v>36</v>
      </c>
      <c r="X57" s="4" t="str">
        <f>"A3682"</f>
        <v>A3682</v>
      </c>
      <c r="Y57" s="4" t="str">
        <f>"825-4033-050"</f>
        <v>825-4033-050</v>
      </c>
      <c r="Z57" s="4" t="str">
        <f>""</f>
        <v/>
      </c>
      <c r="AA57" s="4" t="str">
        <f>""</f>
        <v/>
      </c>
      <c r="AB57" s="5">
        <v>43465</v>
      </c>
      <c r="AC57" s="4">
        <v>0</v>
      </c>
    </row>
    <row r="58" spans="1:29" ht="14.45" customHeight="1" x14ac:dyDescent="0.25">
      <c r="A58" s="4" t="s">
        <v>25</v>
      </c>
      <c r="B58" s="4" t="s">
        <v>139</v>
      </c>
      <c r="C58" s="4" t="s">
        <v>140</v>
      </c>
      <c r="D58" s="4" t="s">
        <v>28</v>
      </c>
      <c r="E58" s="4" t="s">
        <v>141</v>
      </c>
      <c r="F58" s="4" t="s">
        <v>142</v>
      </c>
      <c r="G58" s="4" t="s">
        <v>142</v>
      </c>
      <c r="H58" s="4" t="s">
        <v>143</v>
      </c>
      <c r="I58" s="4" t="s">
        <v>192</v>
      </c>
      <c r="J58" s="4" t="str">
        <f>"5985SB0005079"</f>
        <v>5985SB0005079</v>
      </c>
      <c r="K58" s="4" t="s">
        <v>193</v>
      </c>
      <c r="L58" s="4" t="str">
        <f>""</f>
        <v/>
      </c>
      <c r="M58" s="4" t="str">
        <f>""</f>
        <v/>
      </c>
      <c r="N58" s="4" t="s">
        <v>34</v>
      </c>
      <c r="O58" s="3"/>
      <c r="P58" s="3"/>
      <c r="Q58" s="3"/>
      <c r="R58" s="4" t="s">
        <v>35</v>
      </c>
      <c r="S58" s="3"/>
      <c r="T58" s="4" t="str">
        <f>"57860-10"</f>
        <v>57860-10</v>
      </c>
      <c r="U58" s="4" t="str">
        <f>"03-116933"</f>
        <v>03-116933</v>
      </c>
      <c r="V58" s="4" t="str">
        <f>"27D90742"</f>
        <v>27D90742</v>
      </c>
      <c r="W58" s="4" t="s">
        <v>36</v>
      </c>
      <c r="X58" s="4" t="str">
        <f>"0HF70"</f>
        <v>0HF70</v>
      </c>
      <c r="Y58" s="4" t="str">
        <f>"57860-10"</f>
        <v>57860-10</v>
      </c>
      <c r="Z58" s="4" t="str">
        <f>""</f>
        <v/>
      </c>
      <c r="AA58" s="4" t="str">
        <f>""</f>
        <v/>
      </c>
      <c r="AB58" s="5">
        <v>43465</v>
      </c>
      <c r="AC58" s="4">
        <v>0</v>
      </c>
    </row>
    <row r="59" spans="1:29" ht="14.45" customHeight="1" x14ac:dyDescent="0.25">
      <c r="A59" s="4" t="s">
        <v>25</v>
      </c>
      <c r="B59" s="4" t="s">
        <v>139</v>
      </c>
      <c r="C59" s="4" t="s">
        <v>140</v>
      </c>
      <c r="D59" s="4" t="s">
        <v>28</v>
      </c>
      <c r="E59" s="4" t="s">
        <v>141</v>
      </c>
      <c r="F59" s="4" t="s">
        <v>142</v>
      </c>
      <c r="G59" s="4" t="s">
        <v>142</v>
      </c>
      <c r="H59" s="4" t="s">
        <v>143</v>
      </c>
      <c r="I59" s="4" t="s">
        <v>83</v>
      </c>
      <c r="J59" s="4" t="str">
        <f>"5995SB0003715"</f>
        <v>5995SB0003715</v>
      </c>
      <c r="K59" s="4" t="s">
        <v>84</v>
      </c>
      <c r="L59" s="4" t="str">
        <f>""</f>
        <v/>
      </c>
      <c r="M59" s="4" t="str">
        <f>""</f>
        <v/>
      </c>
      <c r="N59" s="4" t="s">
        <v>34</v>
      </c>
      <c r="O59" s="3"/>
      <c r="P59" s="3"/>
      <c r="Q59" s="3"/>
      <c r="R59" s="4" t="s">
        <v>35</v>
      </c>
      <c r="S59" s="3"/>
      <c r="T59" s="4" t="str">
        <f>"6150016214694"</f>
        <v>6150016214694</v>
      </c>
      <c r="U59" s="4" t="str">
        <f>"03-116999"</f>
        <v>03-116999</v>
      </c>
      <c r="V59" s="4" t="str">
        <f>"9319-W079"</f>
        <v>9319-W079</v>
      </c>
      <c r="W59" s="4" t="s">
        <v>36</v>
      </c>
      <c r="X59" s="4" t="str">
        <f>"34078"</f>
        <v>34078</v>
      </c>
      <c r="Y59" s="4" t="str">
        <f>"731-00405-00"</f>
        <v>731-00405-00</v>
      </c>
      <c r="Z59" s="4" t="str">
        <f>""</f>
        <v/>
      </c>
      <c r="AA59" s="4" t="str">
        <f>""</f>
        <v/>
      </c>
      <c r="AB59" s="5">
        <v>43465</v>
      </c>
      <c r="AC59" s="6">
        <v>2546251111111110</v>
      </c>
    </row>
    <row r="60" spans="1:29" ht="14.45" customHeight="1" x14ac:dyDescent="0.25">
      <c r="A60" s="4" t="s">
        <v>25</v>
      </c>
      <c r="B60" s="4" t="s">
        <v>139</v>
      </c>
      <c r="C60" s="4" t="s">
        <v>140</v>
      </c>
      <c r="D60" s="4" t="s">
        <v>28</v>
      </c>
      <c r="E60" s="4" t="s">
        <v>141</v>
      </c>
      <c r="F60" s="4" t="s">
        <v>142</v>
      </c>
      <c r="G60" s="4" t="s">
        <v>142</v>
      </c>
      <c r="H60" s="4" t="s">
        <v>143</v>
      </c>
      <c r="I60" s="4" t="s">
        <v>83</v>
      </c>
      <c r="J60" s="4" t="str">
        <f>"5995SB0003715"</f>
        <v>5995SB0003715</v>
      </c>
      <c r="K60" s="4" t="s">
        <v>84</v>
      </c>
      <c r="L60" s="4" t="str">
        <f>""</f>
        <v/>
      </c>
      <c r="M60" s="4" t="str">
        <f>""</f>
        <v/>
      </c>
      <c r="N60" s="4" t="s">
        <v>34</v>
      </c>
      <c r="O60" s="3"/>
      <c r="P60" s="3"/>
      <c r="Q60" s="3"/>
      <c r="R60" s="4" t="s">
        <v>35</v>
      </c>
      <c r="S60" s="3"/>
      <c r="T60" s="4" t="str">
        <f>"6150016214694"</f>
        <v>6150016214694</v>
      </c>
      <c r="U60" s="4" t="str">
        <f>"03-117000"</f>
        <v>03-117000</v>
      </c>
      <c r="V60" s="4" t="str">
        <f>"9319-W077"</f>
        <v>9319-W077</v>
      </c>
      <c r="W60" s="4" t="s">
        <v>36</v>
      </c>
      <c r="X60" s="4" t="str">
        <f>"34078"</f>
        <v>34078</v>
      </c>
      <c r="Y60" s="4" t="str">
        <f>"731-00405-00"</f>
        <v>731-00405-00</v>
      </c>
      <c r="Z60" s="4" t="str">
        <f>""</f>
        <v/>
      </c>
      <c r="AA60" s="4" t="str">
        <f>""</f>
        <v/>
      </c>
      <c r="AB60" s="5">
        <v>43465</v>
      </c>
      <c r="AC60" s="6">
        <v>2546251111111110</v>
      </c>
    </row>
    <row r="61" spans="1:29" ht="14.45" customHeight="1" x14ac:dyDescent="0.25">
      <c r="A61" s="4" t="s">
        <v>25</v>
      </c>
      <c r="B61" s="4" t="s">
        <v>139</v>
      </c>
      <c r="C61" s="4" t="s">
        <v>140</v>
      </c>
      <c r="D61" s="4" t="s">
        <v>28</v>
      </c>
      <c r="E61" s="4" t="s">
        <v>141</v>
      </c>
      <c r="F61" s="4" t="s">
        <v>142</v>
      </c>
      <c r="G61" s="4" t="s">
        <v>142</v>
      </c>
      <c r="H61" s="4" t="s">
        <v>143</v>
      </c>
      <c r="I61" s="4" t="s">
        <v>83</v>
      </c>
      <c r="J61" s="4" t="str">
        <f>"5995SB0003715"</f>
        <v>5995SB0003715</v>
      </c>
      <c r="K61" s="4" t="s">
        <v>84</v>
      </c>
      <c r="L61" s="4" t="str">
        <f>""</f>
        <v/>
      </c>
      <c r="M61" s="4" t="str">
        <f>""</f>
        <v/>
      </c>
      <c r="N61" s="4" t="s">
        <v>34</v>
      </c>
      <c r="O61" s="3"/>
      <c r="P61" s="3"/>
      <c r="Q61" s="3"/>
      <c r="R61" s="4" t="s">
        <v>35</v>
      </c>
      <c r="S61" s="3"/>
      <c r="T61" s="4" t="str">
        <f>"6150016214694"</f>
        <v>6150016214694</v>
      </c>
      <c r="U61" s="4" t="str">
        <f>"03-117005"</f>
        <v>03-117005</v>
      </c>
      <c r="V61" s="4" t="str">
        <f>"9319-W038"</f>
        <v>9319-W038</v>
      </c>
      <c r="W61" s="4" t="s">
        <v>36</v>
      </c>
      <c r="X61" s="4" t="str">
        <f>"02MQ7"</f>
        <v>02MQ7</v>
      </c>
      <c r="Y61" s="4" t="str">
        <f>"731-00405-01"</f>
        <v>731-00405-01</v>
      </c>
      <c r="Z61" s="4" t="str">
        <f>""</f>
        <v/>
      </c>
      <c r="AA61" s="4" t="str">
        <f>""</f>
        <v/>
      </c>
      <c r="AB61" s="5">
        <v>43465</v>
      </c>
      <c r="AC61" s="6">
        <v>2546251111111110</v>
      </c>
    </row>
    <row r="62" spans="1:29" ht="14.45" customHeight="1" x14ac:dyDescent="0.25">
      <c r="A62" s="4" t="s">
        <v>25</v>
      </c>
      <c r="B62" s="4" t="s">
        <v>139</v>
      </c>
      <c r="C62" s="4" t="s">
        <v>140</v>
      </c>
      <c r="D62" s="4" t="s">
        <v>28</v>
      </c>
      <c r="E62" s="4" t="s">
        <v>141</v>
      </c>
      <c r="F62" s="4" t="s">
        <v>142</v>
      </c>
      <c r="G62" s="4" t="s">
        <v>142</v>
      </c>
      <c r="H62" s="4" t="s">
        <v>143</v>
      </c>
      <c r="I62" s="4" t="s">
        <v>194</v>
      </c>
      <c r="J62" s="4" t="str">
        <f>"5995SB0004706"</f>
        <v>5995SB0004706</v>
      </c>
      <c r="K62" s="4" t="s">
        <v>195</v>
      </c>
      <c r="L62" s="4" t="str">
        <f>""</f>
        <v/>
      </c>
      <c r="M62" s="4" t="str">
        <f>""</f>
        <v/>
      </c>
      <c r="N62" s="4" t="s">
        <v>34</v>
      </c>
      <c r="O62" s="3"/>
      <c r="P62" s="3"/>
      <c r="Q62" s="3"/>
      <c r="R62" s="4" t="s">
        <v>35</v>
      </c>
      <c r="S62" s="3"/>
      <c r="T62" s="4" t="str">
        <f>"62136637-400"</f>
        <v>62136637-400</v>
      </c>
      <c r="U62" s="4" t="str">
        <f>"NCIA10128758"</f>
        <v>NCIA10128758</v>
      </c>
      <c r="V62" s="4" t="str">
        <f>""</f>
        <v/>
      </c>
      <c r="W62" s="4" t="s">
        <v>36</v>
      </c>
      <c r="X62" s="4" t="str">
        <f>"D5212"</f>
        <v>D5212</v>
      </c>
      <c r="Y62" s="4" t="str">
        <f>"62136637-400"</f>
        <v>62136637-400</v>
      </c>
      <c r="Z62" s="4" t="str">
        <f>""</f>
        <v/>
      </c>
      <c r="AA62" s="4" t="str">
        <f>""</f>
        <v/>
      </c>
      <c r="AB62" s="5">
        <v>43465</v>
      </c>
      <c r="AC62" s="4">
        <v>1627.2</v>
      </c>
    </row>
    <row r="63" spans="1:29" ht="14.45" customHeight="1" x14ac:dyDescent="0.25">
      <c r="A63" s="4" t="s">
        <v>25</v>
      </c>
      <c r="B63" s="4" t="s">
        <v>139</v>
      </c>
      <c r="C63" s="4" t="s">
        <v>140</v>
      </c>
      <c r="D63" s="4" t="s">
        <v>28</v>
      </c>
      <c r="E63" s="4" t="s">
        <v>141</v>
      </c>
      <c r="F63" s="4" t="s">
        <v>142</v>
      </c>
      <c r="G63" s="4" t="s">
        <v>142</v>
      </c>
      <c r="H63" s="4" t="s">
        <v>143</v>
      </c>
      <c r="I63" s="4" t="s">
        <v>158</v>
      </c>
      <c r="J63" s="4" t="str">
        <f>"5995SB0007065"</f>
        <v>5995SB0007065</v>
      </c>
      <c r="K63" s="4" t="s">
        <v>196</v>
      </c>
      <c r="L63" s="4" t="str">
        <f>""</f>
        <v/>
      </c>
      <c r="M63" s="4" t="str">
        <f>""</f>
        <v/>
      </c>
      <c r="N63" s="4" t="s">
        <v>34</v>
      </c>
      <c r="O63" s="3"/>
      <c r="P63" s="3"/>
      <c r="Q63" s="3"/>
      <c r="R63" s="4" t="s">
        <v>35</v>
      </c>
      <c r="S63" s="3"/>
      <c r="T63" s="4" t="str">
        <f>"5995151630299"</f>
        <v>5995151630299</v>
      </c>
      <c r="U63" s="4" t="str">
        <f>"NCIAX11178238"</f>
        <v>NCIAX11178238</v>
      </c>
      <c r="V63" s="4" t="str">
        <f>""</f>
        <v/>
      </c>
      <c r="W63" s="4" t="s">
        <v>36</v>
      </c>
      <c r="X63" s="4" t="str">
        <f>"A3682"</f>
        <v>A3682</v>
      </c>
      <c r="Y63" s="4" t="str">
        <f>"825-3010-T003"</f>
        <v>825-3010-T003</v>
      </c>
      <c r="Z63" s="4" t="str">
        <f>""</f>
        <v/>
      </c>
      <c r="AA63" s="4" t="str">
        <f>""</f>
        <v/>
      </c>
      <c r="AB63" s="5">
        <v>43465</v>
      </c>
      <c r="AC63" s="4">
        <v>0</v>
      </c>
    </row>
    <row r="64" spans="1:29" ht="14.45" customHeight="1" x14ac:dyDescent="0.25">
      <c r="A64" s="4" t="s">
        <v>25</v>
      </c>
      <c r="B64" s="4" t="s">
        <v>139</v>
      </c>
      <c r="C64" s="4" t="s">
        <v>140</v>
      </c>
      <c r="D64" s="4" t="s">
        <v>28</v>
      </c>
      <c r="E64" s="4" t="s">
        <v>141</v>
      </c>
      <c r="F64" s="4" t="s">
        <v>142</v>
      </c>
      <c r="G64" s="4" t="s">
        <v>142</v>
      </c>
      <c r="H64" s="4" t="s">
        <v>143</v>
      </c>
      <c r="I64" s="4" t="s">
        <v>158</v>
      </c>
      <c r="J64" s="4" t="str">
        <f>"5995SB0008146"</f>
        <v>5995SB0008146</v>
      </c>
      <c r="K64" s="4" t="s">
        <v>197</v>
      </c>
      <c r="L64" s="4" t="str">
        <f>""</f>
        <v/>
      </c>
      <c r="M64" s="4" t="str">
        <f>""</f>
        <v/>
      </c>
      <c r="N64" s="4" t="s">
        <v>34</v>
      </c>
      <c r="O64" s="3"/>
      <c r="P64" s="3"/>
      <c r="Q64" s="3"/>
      <c r="R64" s="4" t="s">
        <v>35</v>
      </c>
      <c r="S64" s="3"/>
      <c r="T64" s="4" t="str">
        <f>"5995151630300"</f>
        <v>5995151630300</v>
      </c>
      <c r="U64" s="4" t="str">
        <f>"NCIAX11178439"</f>
        <v>NCIAX11178439</v>
      </c>
      <c r="V64" s="4" t="str">
        <f>""</f>
        <v/>
      </c>
      <c r="W64" s="4" t="s">
        <v>36</v>
      </c>
      <c r="X64" s="4" t="str">
        <f>"A3682"</f>
        <v>A3682</v>
      </c>
      <c r="Y64" s="4" t="str">
        <f>"825-3010-T004"</f>
        <v>825-3010-T004</v>
      </c>
      <c r="Z64" s="4" t="str">
        <f>""</f>
        <v/>
      </c>
      <c r="AA64" s="4" t="str">
        <f>""</f>
        <v/>
      </c>
      <c r="AB64" s="5">
        <v>43465</v>
      </c>
      <c r="AC64" s="4">
        <v>0</v>
      </c>
    </row>
    <row r="65" spans="1:29" ht="14.45" customHeight="1" x14ac:dyDescent="0.25">
      <c r="A65" s="4" t="s">
        <v>25</v>
      </c>
      <c r="B65" s="4" t="s">
        <v>139</v>
      </c>
      <c r="C65" s="4" t="s">
        <v>140</v>
      </c>
      <c r="D65" s="4" t="s">
        <v>28</v>
      </c>
      <c r="E65" s="4" t="s">
        <v>141</v>
      </c>
      <c r="F65" s="4" t="s">
        <v>142</v>
      </c>
      <c r="G65" s="4" t="s">
        <v>142</v>
      </c>
      <c r="H65" s="4" t="s">
        <v>143</v>
      </c>
      <c r="I65" s="4" t="s">
        <v>95</v>
      </c>
      <c r="J65" s="4" t="str">
        <f>"5996SB0001891"</f>
        <v>5996SB0001891</v>
      </c>
      <c r="K65" s="4" t="s">
        <v>144</v>
      </c>
      <c r="L65" s="4" t="str">
        <f>""</f>
        <v/>
      </c>
      <c r="M65" s="4" t="str">
        <f>""</f>
        <v/>
      </c>
      <c r="N65" s="4" t="s">
        <v>34</v>
      </c>
      <c r="O65" s="3"/>
      <c r="P65" s="3"/>
      <c r="Q65" s="3"/>
      <c r="R65" s="4" t="s">
        <v>35</v>
      </c>
      <c r="S65" s="3"/>
      <c r="T65" s="4" t="str">
        <f>"VZX6987V7"</f>
        <v>VZX6987V7</v>
      </c>
      <c r="U65" s="4" t="str">
        <f>"NCIA10144168"</f>
        <v>NCIA10144168</v>
      </c>
      <c r="V65" s="4" t="str">
        <f>"1001135"</f>
        <v>1001135</v>
      </c>
      <c r="W65" s="4" t="s">
        <v>36</v>
      </c>
      <c r="X65" s="4" t="str">
        <f>"59782"</f>
        <v>59782</v>
      </c>
      <c r="Y65" s="4" t="str">
        <f>"VZX6987V7"</f>
        <v>VZX6987V7</v>
      </c>
      <c r="Z65" s="4" t="str">
        <f>""</f>
        <v/>
      </c>
      <c r="AA65" s="4" t="str">
        <f>""</f>
        <v/>
      </c>
      <c r="AB65" s="5">
        <v>43465</v>
      </c>
      <c r="AC65" s="6">
        <v>3118305904761900</v>
      </c>
    </row>
    <row r="66" spans="1:29" ht="14.45" customHeight="1" x14ac:dyDescent="0.25">
      <c r="A66" s="4" t="s">
        <v>25</v>
      </c>
      <c r="B66" s="4" t="s">
        <v>139</v>
      </c>
      <c r="C66" s="4" t="s">
        <v>140</v>
      </c>
      <c r="D66" s="4" t="s">
        <v>28</v>
      </c>
      <c r="E66" s="4" t="s">
        <v>141</v>
      </c>
      <c r="F66" s="4" t="s">
        <v>142</v>
      </c>
      <c r="G66" s="4" t="s">
        <v>142</v>
      </c>
      <c r="H66" s="4" t="s">
        <v>143</v>
      </c>
      <c r="I66" s="4" t="s">
        <v>167</v>
      </c>
      <c r="J66" s="4" t="str">
        <f>"5996SB0002112"</f>
        <v>5996SB0002112</v>
      </c>
      <c r="K66" s="4" t="s">
        <v>198</v>
      </c>
      <c r="L66" s="4" t="str">
        <f>""</f>
        <v/>
      </c>
      <c r="M66" s="4" t="str">
        <f>""</f>
        <v/>
      </c>
      <c r="N66" s="4" t="s">
        <v>34</v>
      </c>
      <c r="O66" s="3"/>
      <c r="P66" s="3"/>
      <c r="Q66" s="3"/>
      <c r="R66" s="4" t="s">
        <v>35</v>
      </c>
      <c r="S66" s="3"/>
      <c r="T66" s="4" t="str">
        <f>"0103152401"</f>
        <v>0103152401</v>
      </c>
      <c r="U66" s="4" t="str">
        <f>"NCIA12043874"</f>
        <v>NCIA12043874</v>
      </c>
      <c r="V66" s="4" t="str">
        <f>"18G002"</f>
        <v>18G002</v>
      </c>
      <c r="W66" s="4" t="s">
        <v>36</v>
      </c>
      <c r="X66" s="4" t="str">
        <f>"3FV72"</f>
        <v>3FV72</v>
      </c>
      <c r="Y66" s="4" t="str">
        <f>"0103152401"</f>
        <v>0103152401</v>
      </c>
      <c r="Z66" s="4" t="str">
        <f>""</f>
        <v/>
      </c>
      <c r="AA66" s="4" t="str">
        <f>""</f>
        <v/>
      </c>
      <c r="AB66" s="5">
        <v>44067</v>
      </c>
      <c r="AC66" s="6">
        <v>2.53229555122222E+16</v>
      </c>
    </row>
    <row r="67" spans="1:29" ht="14.45" customHeight="1" x14ac:dyDescent="0.25">
      <c r="A67" s="4" t="s">
        <v>25</v>
      </c>
      <c r="B67" s="4" t="s">
        <v>139</v>
      </c>
      <c r="C67" s="4" t="s">
        <v>140</v>
      </c>
      <c r="D67" s="4" t="s">
        <v>28</v>
      </c>
      <c r="E67" s="4" t="s">
        <v>141</v>
      </c>
      <c r="F67" s="4" t="s">
        <v>142</v>
      </c>
      <c r="G67" s="4" t="s">
        <v>142</v>
      </c>
      <c r="H67" s="4" t="s">
        <v>143</v>
      </c>
      <c r="I67" s="4" t="s">
        <v>199</v>
      </c>
      <c r="J67" s="4" t="str">
        <f>"5996SB0003306"</f>
        <v>5996SB0003306</v>
      </c>
      <c r="K67" s="4" t="s">
        <v>200</v>
      </c>
      <c r="L67" s="4" t="str">
        <f>""</f>
        <v/>
      </c>
      <c r="M67" s="4" t="str">
        <f>""</f>
        <v/>
      </c>
      <c r="N67" s="4" t="s">
        <v>34</v>
      </c>
      <c r="O67" s="3"/>
      <c r="P67" s="3"/>
      <c r="Q67" s="3"/>
      <c r="R67" s="4" t="s">
        <v>35</v>
      </c>
      <c r="S67" s="3"/>
      <c r="T67" s="4" t="str">
        <f>"L207154-1"</f>
        <v>L207154-1</v>
      </c>
      <c r="U67" s="4" t="str">
        <f>"03-139344"</f>
        <v>03-139344</v>
      </c>
      <c r="V67" s="4" t="str">
        <f>"376"</f>
        <v>376</v>
      </c>
      <c r="W67" s="4" t="s">
        <v>36</v>
      </c>
      <c r="X67" s="4" t="str">
        <f>"1GLV3"</f>
        <v>1GLV3</v>
      </c>
      <c r="Y67" s="4" t="str">
        <f>"L-207154-1"</f>
        <v>L-207154-1</v>
      </c>
      <c r="Z67" s="4" t="str">
        <f>""</f>
        <v/>
      </c>
      <c r="AA67" s="4" t="str">
        <f>""</f>
        <v/>
      </c>
      <c r="AB67" s="5">
        <v>43465</v>
      </c>
      <c r="AC67" s="4">
        <v>3343.37</v>
      </c>
    </row>
    <row r="68" spans="1:29" ht="14.45" customHeight="1" x14ac:dyDescent="0.25">
      <c r="A68" s="4" t="s">
        <v>25</v>
      </c>
      <c r="B68" s="4" t="s">
        <v>139</v>
      </c>
      <c r="C68" s="4" t="s">
        <v>140</v>
      </c>
      <c r="D68" s="4" t="s">
        <v>28</v>
      </c>
      <c r="E68" s="4" t="s">
        <v>141</v>
      </c>
      <c r="F68" s="4" t="s">
        <v>142</v>
      </c>
      <c r="G68" s="4" t="s">
        <v>142</v>
      </c>
      <c r="H68" s="4" t="s">
        <v>143</v>
      </c>
      <c r="I68" s="4" t="s">
        <v>201</v>
      </c>
      <c r="J68" s="4" t="str">
        <f>"5996SB0003307"</f>
        <v>5996SB0003307</v>
      </c>
      <c r="K68" s="4" t="s">
        <v>200</v>
      </c>
      <c r="L68" s="4" t="str">
        <f>""</f>
        <v/>
      </c>
      <c r="M68" s="4" t="str">
        <f>""</f>
        <v/>
      </c>
      <c r="N68" s="4" t="s">
        <v>34</v>
      </c>
      <c r="O68" s="3"/>
      <c r="P68" s="3"/>
      <c r="Q68" s="3"/>
      <c r="R68" s="4" t="s">
        <v>35</v>
      </c>
      <c r="S68" s="3"/>
      <c r="T68" s="4" t="str">
        <f>"L207154-1 REV.A"</f>
        <v>L207154-1 REV.A</v>
      </c>
      <c r="U68" s="4" t="str">
        <f>"03-117047"</f>
        <v>03-117047</v>
      </c>
      <c r="V68" s="4" t="str">
        <f>"378"</f>
        <v>378</v>
      </c>
      <c r="W68" s="4" t="s">
        <v>36</v>
      </c>
      <c r="X68" s="4" t="str">
        <f>"1GLV3"</f>
        <v>1GLV3</v>
      </c>
      <c r="Y68" s="4" t="str">
        <f>"L207154-1 REV.A"</f>
        <v>L207154-1 REV.A</v>
      </c>
      <c r="Z68" s="4" t="str">
        <f>""</f>
        <v/>
      </c>
      <c r="AA68" s="4" t="str">
        <f>""</f>
        <v/>
      </c>
      <c r="AB68" s="5">
        <v>43465</v>
      </c>
      <c r="AC68" s="4">
        <v>3474.9</v>
      </c>
    </row>
    <row r="69" spans="1:29" ht="14.45" customHeight="1" x14ac:dyDescent="0.25">
      <c r="A69" s="4" t="s">
        <v>25</v>
      </c>
      <c r="B69" s="4" t="s">
        <v>139</v>
      </c>
      <c r="C69" s="4" t="s">
        <v>140</v>
      </c>
      <c r="D69" s="4" t="s">
        <v>28</v>
      </c>
      <c r="E69" s="4" t="s">
        <v>141</v>
      </c>
      <c r="F69" s="4" t="s">
        <v>142</v>
      </c>
      <c r="G69" s="4" t="s">
        <v>142</v>
      </c>
      <c r="H69" s="4" t="s">
        <v>202</v>
      </c>
      <c r="I69" s="4" t="s">
        <v>203</v>
      </c>
      <c r="J69" s="4" t="str">
        <f>"5998SB0003463"</f>
        <v>5998SB0003463</v>
      </c>
      <c r="K69" s="4" t="s">
        <v>204</v>
      </c>
      <c r="L69" s="4" t="str">
        <f>""</f>
        <v/>
      </c>
      <c r="M69" s="4" t="str">
        <f>""</f>
        <v/>
      </c>
      <c r="N69" s="4" t="s">
        <v>34</v>
      </c>
      <c r="O69" s="3"/>
      <c r="P69" s="3"/>
      <c r="Q69" s="3"/>
      <c r="R69" s="4" t="s">
        <v>35</v>
      </c>
      <c r="S69" s="3"/>
      <c r="T69" s="4" t="str">
        <f>"98-123-2100-03"</f>
        <v>98-123-2100-03</v>
      </c>
      <c r="U69" s="4" t="str">
        <f>"NCIA10199071"</f>
        <v>NCIA10199071</v>
      </c>
      <c r="V69" s="4" t="str">
        <f>"658"</f>
        <v>658</v>
      </c>
      <c r="W69" s="4" t="s">
        <v>36</v>
      </c>
      <c r="X69" s="4" t="str">
        <f>"0P0N7"</f>
        <v>0P0N7</v>
      </c>
      <c r="Y69" s="4" t="str">
        <f>"98-123-2100-03"</f>
        <v>98-123-2100-03</v>
      </c>
      <c r="Z69" s="4" t="str">
        <f>""</f>
        <v/>
      </c>
      <c r="AA69" s="4" t="str">
        <f>""</f>
        <v/>
      </c>
      <c r="AB69" s="5">
        <v>43465</v>
      </c>
      <c r="AC69" s="4">
        <v>3995</v>
      </c>
    </row>
    <row r="70" spans="1:29" ht="14.45" customHeight="1" x14ac:dyDescent="0.25">
      <c r="A70" s="4" t="s">
        <v>25</v>
      </c>
      <c r="B70" s="4" t="s">
        <v>139</v>
      </c>
      <c r="C70" s="4" t="s">
        <v>140</v>
      </c>
      <c r="D70" s="4" t="s">
        <v>28</v>
      </c>
      <c r="E70" s="4" t="s">
        <v>141</v>
      </c>
      <c r="F70" s="4" t="s">
        <v>142</v>
      </c>
      <c r="G70" s="4" t="s">
        <v>142</v>
      </c>
      <c r="H70" s="4" t="s">
        <v>143</v>
      </c>
      <c r="I70" s="4" t="s">
        <v>42</v>
      </c>
      <c r="J70" s="4" t="str">
        <f>"5998SB0004004"</f>
        <v>5998SB0004004</v>
      </c>
      <c r="K70" s="4" t="s">
        <v>89</v>
      </c>
      <c r="L70" s="4" t="str">
        <f>""</f>
        <v/>
      </c>
      <c r="M70" s="4" t="str">
        <f>""</f>
        <v/>
      </c>
      <c r="N70" s="4" t="s">
        <v>34</v>
      </c>
      <c r="O70" s="3"/>
      <c r="P70" s="3"/>
      <c r="Q70" s="3"/>
      <c r="R70" s="4" t="s">
        <v>35</v>
      </c>
      <c r="S70" s="3"/>
      <c r="T70" s="4" t="str">
        <f>"5998145561175"</f>
        <v>5998145561175</v>
      </c>
      <c r="U70" s="4" t="str">
        <f>"03-116959"</f>
        <v>03-116959</v>
      </c>
      <c r="V70" s="4" t="str">
        <f>"61818758AA00042"</f>
        <v>61818758AA00042</v>
      </c>
      <c r="W70" s="4" t="s">
        <v>36</v>
      </c>
      <c r="X70" s="4" t="str">
        <f t="shared" ref="X70:X76" si="1">"F0057"</f>
        <v>F0057</v>
      </c>
      <c r="Y70" s="4" t="str">
        <f>"61818758AA"</f>
        <v>61818758AA</v>
      </c>
      <c r="Z70" s="4" t="str">
        <f>""</f>
        <v/>
      </c>
      <c r="AA70" s="4" t="str">
        <f>""</f>
        <v/>
      </c>
      <c r="AB70" s="5">
        <v>43465</v>
      </c>
      <c r="AC70" s="4">
        <v>2608.9699999999998</v>
      </c>
    </row>
    <row r="71" spans="1:29" ht="14.45" customHeight="1" x14ac:dyDescent="0.25">
      <c r="A71" s="4" t="s">
        <v>25</v>
      </c>
      <c r="B71" s="4" t="s">
        <v>139</v>
      </c>
      <c r="C71" s="4" t="s">
        <v>140</v>
      </c>
      <c r="D71" s="4" t="s">
        <v>28</v>
      </c>
      <c r="E71" s="4" t="s">
        <v>141</v>
      </c>
      <c r="F71" s="4" t="s">
        <v>142</v>
      </c>
      <c r="G71" s="4" t="s">
        <v>142</v>
      </c>
      <c r="H71" s="4" t="s">
        <v>143</v>
      </c>
      <c r="I71" s="4" t="s">
        <v>42</v>
      </c>
      <c r="J71" s="4" t="str">
        <f>"5998SB0004761"</f>
        <v>5998SB0004761</v>
      </c>
      <c r="K71" s="4" t="s">
        <v>90</v>
      </c>
      <c r="L71" s="4" t="str">
        <f>""</f>
        <v/>
      </c>
      <c r="M71" s="4" t="str">
        <f>""</f>
        <v/>
      </c>
      <c r="N71" s="4" t="s">
        <v>34</v>
      </c>
      <c r="O71" s="3"/>
      <c r="P71" s="3"/>
      <c r="Q71" s="3"/>
      <c r="R71" s="4" t="s">
        <v>35</v>
      </c>
      <c r="S71" s="3"/>
      <c r="T71" s="4" t="str">
        <f>"5998145560368"</f>
        <v>5998145560368</v>
      </c>
      <c r="U71" s="4" t="str">
        <f>"03-116955"</f>
        <v>03-116955</v>
      </c>
      <c r="V71" s="4" t="str">
        <f>"62063591AA00183"</f>
        <v>62063591AA00183</v>
      </c>
      <c r="W71" s="4" t="s">
        <v>36</v>
      </c>
      <c r="X71" s="4" t="str">
        <f t="shared" si="1"/>
        <v>F0057</v>
      </c>
      <c r="Y71" s="4" t="str">
        <f>"62063591AA"</f>
        <v>62063591AA</v>
      </c>
      <c r="Z71" s="4" t="str">
        <f>""</f>
        <v/>
      </c>
      <c r="AA71" s="4" t="str">
        <f>""</f>
        <v/>
      </c>
      <c r="AB71" s="5">
        <v>43465</v>
      </c>
      <c r="AC71" s="4">
        <v>1565.38</v>
      </c>
    </row>
    <row r="72" spans="1:29" ht="14.45" customHeight="1" x14ac:dyDescent="0.25">
      <c r="A72" s="4" t="s">
        <v>25</v>
      </c>
      <c r="B72" s="4" t="s">
        <v>139</v>
      </c>
      <c r="C72" s="4" t="s">
        <v>140</v>
      </c>
      <c r="D72" s="4" t="s">
        <v>28</v>
      </c>
      <c r="E72" s="4" t="s">
        <v>141</v>
      </c>
      <c r="F72" s="4" t="s">
        <v>142</v>
      </c>
      <c r="G72" s="4" t="s">
        <v>142</v>
      </c>
      <c r="H72" s="4" t="s">
        <v>143</v>
      </c>
      <c r="I72" s="4" t="s">
        <v>42</v>
      </c>
      <c r="J72" s="4" t="str">
        <f>"5998SB0005772"</f>
        <v>5998SB0005772</v>
      </c>
      <c r="K72" s="4" t="s">
        <v>91</v>
      </c>
      <c r="L72" s="4" t="str">
        <f>""</f>
        <v/>
      </c>
      <c r="M72" s="4" t="str">
        <f>""</f>
        <v/>
      </c>
      <c r="N72" s="4" t="s">
        <v>34</v>
      </c>
      <c r="O72" s="3"/>
      <c r="P72" s="3"/>
      <c r="Q72" s="3"/>
      <c r="R72" s="4" t="s">
        <v>35</v>
      </c>
      <c r="S72" s="3"/>
      <c r="T72" s="4" t="str">
        <f>"5998145561182"</f>
        <v>5998145561182</v>
      </c>
      <c r="U72" s="4" t="str">
        <f>"03-111222"</f>
        <v>03-111222</v>
      </c>
      <c r="V72" s="4" t="str">
        <f>"62055403AA00251"</f>
        <v>62055403AA00251</v>
      </c>
      <c r="W72" s="4" t="s">
        <v>36</v>
      </c>
      <c r="X72" s="4" t="str">
        <f t="shared" si="1"/>
        <v>F0057</v>
      </c>
      <c r="Y72" s="4" t="str">
        <f>"62055403AA"</f>
        <v>62055403AA</v>
      </c>
      <c r="Z72" s="4" t="str">
        <f>""</f>
        <v/>
      </c>
      <c r="AA72" s="4" t="str">
        <f>""</f>
        <v/>
      </c>
      <c r="AB72" s="5">
        <v>43465</v>
      </c>
      <c r="AC72" s="4">
        <v>0</v>
      </c>
    </row>
    <row r="73" spans="1:29" ht="14.45" customHeight="1" x14ac:dyDescent="0.25">
      <c r="A73" s="4" t="s">
        <v>25</v>
      </c>
      <c r="B73" s="4" t="s">
        <v>139</v>
      </c>
      <c r="C73" s="4" t="s">
        <v>140</v>
      </c>
      <c r="D73" s="4" t="s">
        <v>28</v>
      </c>
      <c r="E73" s="4" t="s">
        <v>141</v>
      </c>
      <c r="F73" s="4" t="s">
        <v>142</v>
      </c>
      <c r="G73" s="4" t="s">
        <v>142</v>
      </c>
      <c r="H73" s="4" t="s">
        <v>143</v>
      </c>
      <c r="I73" s="4" t="s">
        <v>42</v>
      </c>
      <c r="J73" s="4" t="str">
        <f>"5998SB0005772"</f>
        <v>5998SB0005772</v>
      </c>
      <c r="K73" s="4" t="s">
        <v>91</v>
      </c>
      <c r="L73" s="4" t="str">
        <f>""</f>
        <v/>
      </c>
      <c r="M73" s="4" t="str">
        <f>""</f>
        <v/>
      </c>
      <c r="N73" s="4" t="s">
        <v>34</v>
      </c>
      <c r="O73" s="3"/>
      <c r="P73" s="3"/>
      <c r="Q73" s="3"/>
      <c r="R73" s="4" t="s">
        <v>35</v>
      </c>
      <c r="S73" s="3"/>
      <c r="T73" s="4" t="str">
        <f>"5998145561182"</f>
        <v>5998145561182</v>
      </c>
      <c r="U73" s="4" t="str">
        <f>"03-114426"</f>
        <v>03-114426</v>
      </c>
      <c r="V73" s="4" t="str">
        <f>"62055403AA00140"</f>
        <v>62055403AA00140</v>
      </c>
      <c r="W73" s="4" t="s">
        <v>36</v>
      </c>
      <c r="X73" s="4" t="str">
        <f t="shared" si="1"/>
        <v>F0057</v>
      </c>
      <c r="Y73" s="4" t="str">
        <f>"62055403AA"</f>
        <v>62055403AA</v>
      </c>
      <c r="Z73" s="4" t="str">
        <f>""</f>
        <v/>
      </c>
      <c r="AA73" s="4" t="str">
        <f>""</f>
        <v/>
      </c>
      <c r="AB73" s="5">
        <v>43465</v>
      </c>
      <c r="AC73" s="4">
        <v>0</v>
      </c>
    </row>
    <row r="74" spans="1:29" ht="14.45" customHeight="1" x14ac:dyDescent="0.25">
      <c r="A74" s="4" t="s">
        <v>25</v>
      </c>
      <c r="B74" s="4" t="s">
        <v>139</v>
      </c>
      <c r="C74" s="4" t="s">
        <v>140</v>
      </c>
      <c r="D74" s="4" t="s">
        <v>28</v>
      </c>
      <c r="E74" s="4" t="s">
        <v>141</v>
      </c>
      <c r="F74" s="4" t="s">
        <v>142</v>
      </c>
      <c r="G74" s="4" t="s">
        <v>142</v>
      </c>
      <c r="H74" s="4" t="s">
        <v>143</v>
      </c>
      <c r="I74" s="4" t="s">
        <v>42</v>
      </c>
      <c r="J74" s="4" t="str">
        <f>"5998SB0005772"</f>
        <v>5998SB0005772</v>
      </c>
      <c r="K74" s="4" t="s">
        <v>91</v>
      </c>
      <c r="L74" s="4" t="str">
        <f>""</f>
        <v/>
      </c>
      <c r="M74" s="4" t="str">
        <f>""</f>
        <v/>
      </c>
      <c r="N74" s="4" t="s">
        <v>34</v>
      </c>
      <c r="O74" s="3"/>
      <c r="P74" s="3"/>
      <c r="Q74" s="3"/>
      <c r="R74" s="4" t="s">
        <v>35</v>
      </c>
      <c r="S74" s="3"/>
      <c r="T74" s="4" t="str">
        <f>"5998145561182"</f>
        <v>5998145561182</v>
      </c>
      <c r="U74" s="4" t="str">
        <f>"03-115762"</f>
        <v>03-115762</v>
      </c>
      <c r="V74" s="4" t="str">
        <f>"62055403AA00760"</f>
        <v>62055403AA00760</v>
      </c>
      <c r="W74" s="4" t="s">
        <v>36</v>
      </c>
      <c r="X74" s="4" t="str">
        <f t="shared" si="1"/>
        <v>F0057</v>
      </c>
      <c r="Y74" s="4" t="str">
        <f>"62055403AA"</f>
        <v>62055403AA</v>
      </c>
      <c r="Z74" s="4" t="str">
        <f>""</f>
        <v/>
      </c>
      <c r="AA74" s="4" t="str">
        <f>""</f>
        <v/>
      </c>
      <c r="AB74" s="5">
        <v>43465</v>
      </c>
      <c r="AC74" s="4">
        <v>0</v>
      </c>
    </row>
    <row r="75" spans="1:29" ht="14.45" customHeight="1" x14ac:dyDescent="0.25">
      <c r="A75" s="4" t="s">
        <v>25</v>
      </c>
      <c r="B75" s="4" t="s">
        <v>139</v>
      </c>
      <c r="C75" s="4" t="s">
        <v>140</v>
      </c>
      <c r="D75" s="4" t="s">
        <v>28</v>
      </c>
      <c r="E75" s="4" t="s">
        <v>141</v>
      </c>
      <c r="F75" s="4" t="s">
        <v>142</v>
      </c>
      <c r="G75" s="4" t="s">
        <v>142</v>
      </c>
      <c r="H75" s="4" t="s">
        <v>143</v>
      </c>
      <c r="I75" s="4" t="s">
        <v>42</v>
      </c>
      <c r="J75" s="4" t="str">
        <f>"5998SB0005772"</f>
        <v>5998SB0005772</v>
      </c>
      <c r="K75" s="4" t="s">
        <v>91</v>
      </c>
      <c r="L75" s="4" t="str">
        <f>""</f>
        <v/>
      </c>
      <c r="M75" s="4" t="str">
        <f>""</f>
        <v/>
      </c>
      <c r="N75" s="4" t="s">
        <v>34</v>
      </c>
      <c r="O75" s="3"/>
      <c r="P75" s="3"/>
      <c r="Q75" s="3"/>
      <c r="R75" s="4" t="s">
        <v>35</v>
      </c>
      <c r="S75" s="3"/>
      <c r="T75" s="4" t="str">
        <f>"5998145561182"</f>
        <v>5998145561182</v>
      </c>
      <c r="U75" s="4" t="str">
        <f>"03-116961"</f>
        <v>03-116961</v>
      </c>
      <c r="V75" s="4" t="str">
        <f>"62055403AA00432"</f>
        <v>62055403AA00432</v>
      </c>
      <c r="W75" s="4" t="s">
        <v>36</v>
      </c>
      <c r="X75" s="4" t="str">
        <f t="shared" si="1"/>
        <v>F0057</v>
      </c>
      <c r="Y75" s="4" t="str">
        <f>"62055403AA"</f>
        <v>62055403AA</v>
      </c>
      <c r="Z75" s="4" t="str">
        <f>""</f>
        <v/>
      </c>
      <c r="AA75" s="4" t="str">
        <f>""</f>
        <v/>
      </c>
      <c r="AB75" s="5">
        <v>43465</v>
      </c>
      <c r="AC75" s="4">
        <v>0</v>
      </c>
    </row>
    <row r="76" spans="1:29" ht="14.45" customHeight="1" x14ac:dyDescent="0.25">
      <c r="A76" s="4" t="s">
        <v>25</v>
      </c>
      <c r="B76" s="4" t="s">
        <v>139</v>
      </c>
      <c r="C76" s="4" t="s">
        <v>140</v>
      </c>
      <c r="D76" s="4" t="s">
        <v>28</v>
      </c>
      <c r="E76" s="4" t="s">
        <v>141</v>
      </c>
      <c r="F76" s="4" t="s">
        <v>142</v>
      </c>
      <c r="G76" s="4" t="s">
        <v>142</v>
      </c>
      <c r="H76" s="4" t="s">
        <v>143</v>
      </c>
      <c r="I76" s="4" t="s">
        <v>42</v>
      </c>
      <c r="J76" s="4" t="str">
        <f>"5998SB0005772"</f>
        <v>5998SB0005772</v>
      </c>
      <c r="K76" s="4" t="s">
        <v>91</v>
      </c>
      <c r="L76" s="4" t="str">
        <f>""</f>
        <v/>
      </c>
      <c r="M76" s="4" t="str">
        <f>""</f>
        <v/>
      </c>
      <c r="N76" s="4" t="s">
        <v>34</v>
      </c>
      <c r="O76" s="3"/>
      <c r="P76" s="3"/>
      <c r="Q76" s="3"/>
      <c r="R76" s="4" t="s">
        <v>35</v>
      </c>
      <c r="S76" s="3"/>
      <c r="T76" s="4" t="str">
        <f>"5998145561182"</f>
        <v>5998145561182</v>
      </c>
      <c r="U76" s="4" t="str">
        <f>"03-116965"</f>
        <v>03-116965</v>
      </c>
      <c r="V76" s="4" t="str">
        <f>"62055403AA00435"</f>
        <v>62055403AA00435</v>
      </c>
      <c r="W76" s="4" t="s">
        <v>36</v>
      </c>
      <c r="X76" s="4" t="str">
        <f t="shared" si="1"/>
        <v>F0057</v>
      </c>
      <c r="Y76" s="4" t="str">
        <f>"62055403AA"</f>
        <v>62055403AA</v>
      </c>
      <c r="Z76" s="4" t="str">
        <f>""</f>
        <v/>
      </c>
      <c r="AA76" s="4" t="str">
        <f>""</f>
        <v/>
      </c>
      <c r="AB76" s="5">
        <v>43465</v>
      </c>
      <c r="AC76" s="4">
        <v>0</v>
      </c>
    </row>
    <row r="77" spans="1:29" ht="14.45" customHeight="1" x14ac:dyDescent="0.25">
      <c r="A77" s="4" t="s">
        <v>25</v>
      </c>
      <c r="B77" s="4" t="s">
        <v>139</v>
      </c>
      <c r="C77" s="4" t="s">
        <v>140</v>
      </c>
      <c r="D77" s="4" t="s">
        <v>28</v>
      </c>
      <c r="E77" s="4" t="s">
        <v>141</v>
      </c>
      <c r="F77" s="4" t="s">
        <v>142</v>
      </c>
      <c r="G77" s="4" t="s">
        <v>142</v>
      </c>
      <c r="H77" s="4" t="s">
        <v>143</v>
      </c>
      <c r="I77" s="4" t="s">
        <v>56</v>
      </c>
      <c r="J77" s="4" t="str">
        <f>"5999SB0002982"</f>
        <v>5999SB0002982</v>
      </c>
      <c r="K77" s="4" t="s">
        <v>94</v>
      </c>
      <c r="L77" s="4" t="str">
        <f>""</f>
        <v/>
      </c>
      <c r="M77" s="4" t="str">
        <f>""</f>
        <v/>
      </c>
      <c r="N77" s="4" t="s">
        <v>34</v>
      </c>
      <c r="O77" s="3"/>
      <c r="P77" s="3"/>
      <c r="Q77" s="3"/>
      <c r="R77" s="4" t="s">
        <v>35</v>
      </c>
      <c r="S77" s="3"/>
      <c r="T77" s="4" t="str">
        <f>"12719-500"</f>
        <v>12719-500</v>
      </c>
      <c r="U77" s="4" t="str">
        <f>"01-114187"</f>
        <v>01-114187</v>
      </c>
      <c r="V77" s="4" t="str">
        <f>"12719-09"</f>
        <v>12719-09</v>
      </c>
      <c r="W77" s="4" t="s">
        <v>36</v>
      </c>
      <c r="X77" s="4" t="str">
        <f>"0BFK7"</f>
        <v>0BFK7</v>
      </c>
      <c r="Y77" s="4" t="str">
        <f>"12719-500"</f>
        <v>12719-500</v>
      </c>
      <c r="Z77" s="4" t="str">
        <f>""</f>
        <v/>
      </c>
      <c r="AA77" s="4" t="str">
        <f>""</f>
        <v/>
      </c>
      <c r="AB77" s="5">
        <v>43465</v>
      </c>
      <c r="AC77" s="4">
        <v>0</v>
      </c>
    </row>
    <row r="78" spans="1:29" ht="14.45" customHeight="1" x14ac:dyDescent="0.25">
      <c r="A78" s="4" t="s">
        <v>25</v>
      </c>
      <c r="B78" s="4" t="s">
        <v>139</v>
      </c>
      <c r="C78" s="4" t="s">
        <v>140</v>
      </c>
      <c r="D78" s="4" t="s">
        <v>28</v>
      </c>
      <c r="E78" s="4" t="s">
        <v>141</v>
      </c>
      <c r="F78" s="4" t="s">
        <v>142</v>
      </c>
      <c r="G78" s="4" t="s">
        <v>142</v>
      </c>
      <c r="H78" s="4" t="s">
        <v>143</v>
      </c>
      <c r="I78" s="4" t="s">
        <v>160</v>
      </c>
      <c r="J78" s="4" t="str">
        <f>"5999SB0003579"</f>
        <v>5999SB0003579</v>
      </c>
      <c r="K78" s="4" t="s">
        <v>205</v>
      </c>
      <c r="L78" s="4" t="str">
        <f>""</f>
        <v/>
      </c>
      <c r="M78" s="4" t="str">
        <f>""</f>
        <v/>
      </c>
      <c r="N78" s="4" t="s">
        <v>34</v>
      </c>
      <c r="O78" s="3"/>
      <c r="P78" s="3"/>
      <c r="Q78" s="3"/>
      <c r="R78" s="4" t="s">
        <v>35</v>
      </c>
      <c r="S78" s="3"/>
      <c r="T78" s="4" t="str">
        <f>"5895151747288"</f>
        <v>5895151747288</v>
      </c>
      <c r="U78" s="4" t="str">
        <f>"NCIAX11183876"</f>
        <v>NCIAX11183876</v>
      </c>
      <c r="V78" s="4" t="str">
        <f>""</f>
        <v/>
      </c>
      <c r="W78" s="4" t="s">
        <v>36</v>
      </c>
      <c r="X78" s="4" t="str">
        <f t="shared" ref="X78:X83" si="2">"A3682"</f>
        <v>A3682</v>
      </c>
      <c r="Y78" s="4" t="str">
        <f>"825-4012-301"</f>
        <v>825-4012-301</v>
      </c>
      <c r="Z78" s="4" t="str">
        <f>""</f>
        <v/>
      </c>
      <c r="AA78" s="4" t="str">
        <f>""</f>
        <v/>
      </c>
      <c r="AB78" s="5">
        <v>43465</v>
      </c>
      <c r="AC78" s="4">
        <v>3567.12</v>
      </c>
    </row>
    <row r="79" spans="1:29" ht="14.45" customHeight="1" x14ac:dyDescent="0.25">
      <c r="A79" s="4" t="s">
        <v>25</v>
      </c>
      <c r="B79" s="4" t="s">
        <v>139</v>
      </c>
      <c r="C79" s="4" t="s">
        <v>140</v>
      </c>
      <c r="D79" s="4" t="s">
        <v>28</v>
      </c>
      <c r="E79" s="4" t="s">
        <v>141</v>
      </c>
      <c r="F79" s="4" t="s">
        <v>142</v>
      </c>
      <c r="G79" s="4" t="s">
        <v>142</v>
      </c>
      <c r="H79" s="4" t="s">
        <v>143</v>
      </c>
      <c r="I79" s="4" t="s">
        <v>160</v>
      </c>
      <c r="J79" s="4" t="str">
        <f>"5999SB0003579"</f>
        <v>5999SB0003579</v>
      </c>
      <c r="K79" s="4" t="s">
        <v>205</v>
      </c>
      <c r="L79" s="4" t="str">
        <f>""</f>
        <v/>
      </c>
      <c r="M79" s="4" t="str">
        <f>""</f>
        <v/>
      </c>
      <c r="N79" s="4" t="s">
        <v>34</v>
      </c>
      <c r="O79" s="3"/>
      <c r="P79" s="3"/>
      <c r="Q79" s="3"/>
      <c r="R79" s="4" t="s">
        <v>35</v>
      </c>
      <c r="S79" s="3"/>
      <c r="T79" s="4" t="str">
        <f>"5895151747288"</f>
        <v>5895151747288</v>
      </c>
      <c r="U79" s="4" t="str">
        <f>"NCIAX11183877"</f>
        <v>NCIAX11183877</v>
      </c>
      <c r="V79" s="4" t="str">
        <f>""</f>
        <v/>
      </c>
      <c r="W79" s="4" t="s">
        <v>36</v>
      </c>
      <c r="X79" s="4" t="str">
        <f t="shared" si="2"/>
        <v>A3682</v>
      </c>
      <c r="Y79" s="4" t="str">
        <f>"825-4012-301"</f>
        <v>825-4012-301</v>
      </c>
      <c r="Z79" s="4" t="str">
        <f>""</f>
        <v/>
      </c>
      <c r="AA79" s="4" t="str">
        <f>""</f>
        <v/>
      </c>
      <c r="AB79" s="5">
        <v>43465</v>
      </c>
      <c r="AC79" s="4">
        <v>3567.12</v>
      </c>
    </row>
    <row r="80" spans="1:29" ht="14.45" customHeight="1" x14ac:dyDescent="0.25">
      <c r="A80" s="4" t="s">
        <v>25</v>
      </c>
      <c r="B80" s="4" t="s">
        <v>139</v>
      </c>
      <c r="C80" s="4" t="s">
        <v>140</v>
      </c>
      <c r="D80" s="4" t="s">
        <v>28</v>
      </c>
      <c r="E80" s="4" t="s">
        <v>141</v>
      </c>
      <c r="F80" s="4" t="s">
        <v>142</v>
      </c>
      <c r="G80" s="4" t="s">
        <v>142</v>
      </c>
      <c r="H80" s="4" t="s">
        <v>143</v>
      </c>
      <c r="I80" s="4" t="s">
        <v>160</v>
      </c>
      <c r="J80" s="4" t="str">
        <f>"5999SB0003579"</f>
        <v>5999SB0003579</v>
      </c>
      <c r="K80" s="4" t="s">
        <v>205</v>
      </c>
      <c r="L80" s="4" t="str">
        <f>""</f>
        <v/>
      </c>
      <c r="M80" s="4" t="str">
        <f>""</f>
        <v/>
      </c>
      <c r="N80" s="4" t="s">
        <v>34</v>
      </c>
      <c r="O80" s="3"/>
      <c r="P80" s="3"/>
      <c r="Q80" s="3"/>
      <c r="R80" s="4" t="s">
        <v>35</v>
      </c>
      <c r="S80" s="3"/>
      <c r="T80" s="4" t="str">
        <f>"5895151747288"</f>
        <v>5895151747288</v>
      </c>
      <c r="U80" s="4" t="str">
        <f>"NCIAX11183878"</f>
        <v>NCIAX11183878</v>
      </c>
      <c r="V80" s="4" t="str">
        <f>""</f>
        <v/>
      </c>
      <c r="W80" s="4" t="s">
        <v>36</v>
      </c>
      <c r="X80" s="4" t="str">
        <f t="shared" si="2"/>
        <v>A3682</v>
      </c>
      <c r="Y80" s="4" t="str">
        <f>"825-4012-301"</f>
        <v>825-4012-301</v>
      </c>
      <c r="Z80" s="4" t="str">
        <f>""</f>
        <v/>
      </c>
      <c r="AA80" s="4" t="str">
        <f>""</f>
        <v/>
      </c>
      <c r="AB80" s="5">
        <v>43465</v>
      </c>
      <c r="AC80" s="4">
        <v>3567.12</v>
      </c>
    </row>
    <row r="81" spans="1:29" ht="14.45" customHeight="1" x14ac:dyDescent="0.25">
      <c r="A81" s="4" t="s">
        <v>25</v>
      </c>
      <c r="B81" s="4" t="s">
        <v>139</v>
      </c>
      <c r="C81" s="4" t="s">
        <v>140</v>
      </c>
      <c r="D81" s="4" t="s">
        <v>28</v>
      </c>
      <c r="E81" s="4" t="s">
        <v>141</v>
      </c>
      <c r="F81" s="4" t="s">
        <v>142</v>
      </c>
      <c r="G81" s="4" t="s">
        <v>142</v>
      </c>
      <c r="H81" s="4" t="s">
        <v>143</v>
      </c>
      <c r="I81" s="4" t="s">
        <v>160</v>
      </c>
      <c r="J81" s="4" t="str">
        <f>"5999SB0003579"</f>
        <v>5999SB0003579</v>
      </c>
      <c r="K81" s="4" t="s">
        <v>205</v>
      </c>
      <c r="L81" s="4" t="str">
        <f>""</f>
        <v/>
      </c>
      <c r="M81" s="4" t="str">
        <f>""</f>
        <v/>
      </c>
      <c r="N81" s="4" t="s">
        <v>34</v>
      </c>
      <c r="O81" s="3"/>
      <c r="P81" s="3"/>
      <c r="Q81" s="3"/>
      <c r="R81" s="4" t="s">
        <v>35</v>
      </c>
      <c r="S81" s="3"/>
      <c r="T81" s="4" t="str">
        <f>"5895151747288"</f>
        <v>5895151747288</v>
      </c>
      <c r="U81" s="4" t="str">
        <f>"NCIAX11183879"</f>
        <v>NCIAX11183879</v>
      </c>
      <c r="V81" s="4" t="str">
        <f>""</f>
        <v/>
      </c>
      <c r="W81" s="4" t="s">
        <v>36</v>
      </c>
      <c r="X81" s="4" t="str">
        <f t="shared" si="2"/>
        <v>A3682</v>
      </c>
      <c r="Y81" s="4" t="str">
        <f>"825-4012-301"</f>
        <v>825-4012-301</v>
      </c>
      <c r="Z81" s="4" t="str">
        <f>""</f>
        <v/>
      </c>
      <c r="AA81" s="4" t="str">
        <f>""</f>
        <v/>
      </c>
      <c r="AB81" s="5">
        <v>43465</v>
      </c>
      <c r="AC81" s="4">
        <v>3567.12</v>
      </c>
    </row>
    <row r="82" spans="1:29" ht="14.45" customHeight="1" x14ac:dyDescent="0.25">
      <c r="A82" s="4" t="s">
        <v>25</v>
      </c>
      <c r="B82" s="4" t="s">
        <v>139</v>
      </c>
      <c r="C82" s="4" t="s">
        <v>140</v>
      </c>
      <c r="D82" s="4" t="s">
        <v>28</v>
      </c>
      <c r="E82" s="4" t="s">
        <v>141</v>
      </c>
      <c r="F82" s="4" t="s">
        <v>142</v>
      </c>
      <c r="G82" s="4" t="s">
        <v>142</v>
      </c>
      <c r="H82" s="4" t="s">
        <v>143</v>
      </c>
      <c r="I82" s="4" t="s">
        <v>158</v>
      </c>
      <c r="J82" s="4" t="str">
        <f>"5999SB0017461"</f>
        <v>5999SB0017461</v>
      </c>
      <c r="K82" s="4" t="s">
        <v>206</v>
      </c>
      <c r="L82" s="4" t="str">
        <f>""</f>
        <v/>
      </c>
      <c r="M82" s="4" t="str">
        <f>""</f>
        <v/>
      </c>
      <c r="N82" s="4" t="s">
        <v>34</v>
      </c>
      <c r="O82" s="3"/>
      <c r="P82" s="3"/>
      <c r="Q82" s="3"/>
      <c r="R82" s="4" t="s">
        <v>35</v>
      </c>
      <c r="S82" s="3"/>
      <c r="T82" s="4" t="str">
        <f>"5895151634664"</f>
        <v>5895151634664</v>
      </c>
      <c r="U82" s="4" t="str">
        <f>"NCIAX11184599"</f>
        <v>NCIAX11184599</v>
      </c>
      <c r="V82" s="4" t="str">
        <f>"001"</f>
        <v>001</v>
      </c>
      <c r="W82" s="4" t="s">
        <v>36</v>
      </c>
      <c r="X82" s="4" t="str">
        <f t="shared" si="2"/>
        <v>A3682</v>
      </c>
      <c r="Y82" s="4" t="str">
        <f>"825-4021-001"</f>
        <v>825-4021-001</v>
      </c>
      <c r="Z82" s="4" t="str">
        <f>""</f>
        <v/>
      </c>
      <c r="AA82" s="4" t="str">
        <f>""</f>
        <v/>
      </c>
      <c r="AB82" s="5">
        <v>43465</v>
      </c>
      <c r="AC82" s="4">
        <v>0</v>
      </c>
    </row>
    <row r="83" spans="1:29" ht="14.45" customHeight="1" x14ac:dyDescent="0.25">
      <c r="A83" s="4" t="s">
        <v>25</v>
      </c>
      <c r="B83" s="4" t="s">
        <v>139</v>
      </c>
      <c r="C83" s="4" t="s">
        <v>140</v>
      </c>
      <c r="D83" s="4" t="s">
        <v>28</v>
      </c>
      <c r="E83" s="4" t="s">
        <v>141</v>
      </c>
      <c r="F83" s="4" t="s">
        <v>142</v>
      </c>
      <c r="G83" s="4" t="s">
        <v>142</v>
      </c>
      <c r="H83" s="4" t="s">
        <v>143</v>
      </c>
      <c r="I83" s="4" t="s">
        <v>207</v>
      </c>
      <c r="J83" s="4" t="str">
        <f>"5999SB0017512"</f>
        <v>5999SB0017512</v>
      </c>
      <c r="K83" s="4" t="s">
        <v>208</v>
      </c>
      <c r="L83" s="4" t="str">
        <f>""</f>
        <v/>
      </c>
      <c r="M83" s="4" t="str">
        <f>""</f>
        <v/>
      </c>
      <c r="N83" s="4" t="s">
        <v>34</v>
      </c>
      <c r="O83" s="3"/>
      <c r="P83" s="3"/>
      <c r="Q83" s="3"/>
      <c r="R83" s="4" t="s">
        <v>35</v>
      </c>
      <c r="S83" s="3"/>
      <c r="T83" s="4" t="str">
        <f>"883-4002-901/01"</f>
        <v>883-4002-901/01</v>
      </c>
      <c r="U83" s="4" t="str">
        <f>"NCIAX1016113"</f>
        <v>NCIAX1016113</v>
      </c>
      <c r="V83" s="4" t="str">
        <f>"002"</f>
        <v>002</v>
      </c>
      <c r="W83" s="4" t="s">
        <v>36</v>
      </c>
      <c r="X83" s="4" t="str">
        <f t="shared" si="2"/>
        <v>A3682</v>
      </c>
      <c r="Y83" s="4" t="str">
        <f>"883-4002-901/01"</f>
        <v>883-4002-901/01</v>
      </c>
      <c r="Z83" s="4" t="str">
        <f>""</f>
        <v/>
      </c>
      <c r="AA83" s="4" t="str">
        <f>""</f>
        <v/>
      </c>
      <c r="AB83" s="5">
        <v>43465</v>
      </c>
      <c r="AC83" s="4">
        <v>1084.53</v>
      </c>
    </row>
    <row r="84" spans="1:29" ht="14.45" customHeight="1" x14ac:dyDescent="0.25">
      <c r="A84" s="4" t="s">
        <v>25</v>
      </c>
      <c r="B84" s="4" t="s">
        <v>139</v>
      </c>
      <c r="C84" s="4" t="s">
        <v>140</v>
      </c>
      <c r="D84" s="4" t="s">
        <v>28</v>
      </c>
      <c r="E84" s="4" t="s">
        <v>141</v>
      </c>
      <c r="F84" s="4" t="s">
        <v>142</v>
      </c>
      <c r="G84" s="4" t="s">
        <v>142</v>
      </c>
      <c r="H84" s="4" t="s">
        <v>143</v>
      </c>
      <c r="I84" s="4" t="s">
        <v>126</v>
      </c>
      <c r="J84" s="4" t="str">
        <f>"5999SB0018291"</f>
        <v>5999SB0018291</v>
      </c>
      <c r="K84" s="4" t="s">
        <v>209</v>
      </c>
      <c r="L84" s="4" t="str">
        <f>""</f>
        <v/>
      </c>
      <c r="M84" s="4" t="str">
        <f>""</f>
        <v/>
      </c>
      <c r="N84" s="4" t="s">
        <v>34</v>
      </c>
      <c r="O84" s="3"/>
      <c r="P84" s="3"/>
      <c r="Q84" s="3"/>
      <c r="R84" s="4" t="s">
        <v>35</v>
      </c>
      <c r="S84" s="3"/>
      <c r="T84" s="4" t="str">
        <f>"5805123821799"</f>
        <v>5805123821799</v>
      </c>
      <c r="U84" s="4" t="str">
        <f>"03-116936"</f>
        <v>03-116936</v>
      </c>
      <c r="V84" s="4" t="str">
        <f>"CHNWU07090901835"</f>
        <v>CHNWU07090901835</v>
      </c>
      <c r="W84" s="4" t="s">
        <v>36</v>
      </c>
      <c r="X84" s="4" t="str">
        <f>"CD722"</f>
        <v>CD722</v>
      </c>
      <c r="Y84" s="4" t="str">
        <f>"SNOM 300"</f>
        <v>SNOM 300</v>
      </c>
      <c r="Z84" s="4" t="str">
        <f>""</f>
        <v/>
      </c>
      <c r="AA84" s="4" t="str">
        <f>""</f>
        <v/>
      </c>
      <c r="AB84" s="5">
        <v>43465</v>
      </c>
      <c r="AC84" s="4">
        <v>130</v>
      </c>
    </row>
    <row r="85" spans="1:29" ht="14.45" customHeight="1" x14ac:dyDescent="0.25">
      <c r="A85" s="4" t="s">
        <v>25</v>
      </c>
      <c r="B85" s="4" t="s">
        <v>139</v>
      </c>
      <c r="C85" s="4" t="s">
        <v>140</v>
      </c>
      <c r="D85" s="4" t="s">
        <v>28</v>
      </c>
      <c r="E85" s="4" t="s">
        <v>141</v>
      </c>
      <c r="F85" s="4" t="s">
        <v>142</v>
      </c>
      <c r="G85" s="4" t="s">
        <v>142</v>
      </c>
      <c r="H85" s="4" t="s">
        <v>143</v>
      </c>
      <c r="I85" s="4" t="s">
        <v>126</v>
      </c>
      <c r="J85" s="4" t="str">
        <f>"5999SB0018291"</f>
        <v>5999SB0018291</v>
      </c>
      <c r="K85" s="4" t="s">
        <v>209</v>
      </c>
      <c r="L85" s="4" t="str">
        <f>""</f>
        <v/>
      </c>
      <c r="M85" s="4" t="str">
        <f>""</f>
        <v/>
      </c>
      <c r="N85" s="4" t="s">
        <v>34</v>
      </c>
      <c r="O85" s="3"/>
      <c r="P85" s="3"/>
      <c r="Q85" s="3"/>
      <c r="R85" s="4" t="s">
        <v>35</v>
      </c>
      <c r="S85" s="3"/>
      <c r="T85" s="4" t="str">
        <f>"5805123821799"</f>
        <v>5805123821799</v>
      </c>
      <c r="U85" s="4" t="str">
        <f>"03-116937"</f>
        <v>03-116937</v>
      </c>
      <c r="V85" s="4" t="str">
        <f>"CNHWU070900618"</f>
        <v>CNHWU070900618</v>
      </c>
      <c r="W85" s="4" t="s">
        <v>36</v>
      </c>
      <c r="X85" s="4" t="str">
        <f>"CD722"</f>
        <v>CD722</v>
      </c>
      <c r="Y85" s="4" t="str">
        <f>"SNOM 300"</f>
        <v>SNOM 300</v>
      </c>
      <c r="Z85" s="4" t="str">
        <f>""</f>
        <v/>
      </c>
      <c r="AA85" s="4" t="str">
        <f>""</f>
        <v/>
      </c>
      <c r="AB85" s="5">
        <v>43465</v>
      </c>
      <c r="AC85" s="4">
        <v>130</v>
      </c>
    </row>
    <row r="86" spans="1:29" ht="14.45" customHeight="1" x14ac:dyDescent="0.25">
      <c r="A86" s="4" t="s">
        <v>25</v>
      </c>
      <c r="B86" s="4" t="s">
        <v>139</v>
      </c>
      <c r="C86" s="4" t="s">
        <v>140</v>
      </c>
      <c r="D86" s="4" t="s">
        <v>28</v>
      </c>
      <c r="E86" s="4" t="s">
        <v>141</v>
      </c>
      <c r="F86" s="4" t="s">
        <v>142</v>
      </c>
      <c r="G86" s="4" t="s">
        <v>142</v>
      </c>
      <c r="H86" s="4" t="s">
        <v>143</v>
      </c>
      <c r="I86" s="4" t="s">
        <v>98</v>
      </c>
      <c r="J86" s="4" t="str">
        <f>"6060SB0005506"</f>
        <v>6060SB0005506</v>
      </c>
      <c r="K86" s="4" t="s">
        <v>99</v>
      </c>
      <c r="L86" s="4" t="str">
        <f>""</f>
        <v/>
      </c>
      <c r="M86" s="4" t="str">
        <f>""</f>
        <v/>
      </c>
      <c r="N86" s="4" t="s">
        <v>34</v>
      </c>
      <c r="O86" s="3"/>
      <c r="P86" s="3"/>
      <c r="Q86" s="3"/>
      <c r="R86" s="4" t="s">
        <v>35</v>
      </c>
      <c r="S86" s="3"/>
      <c r="T86" s="4" t="str">
        <f>"732-00357-00"</f>
        <v>732-00357-00</v>
      </c>
      <c r="U86" s="4" t="str">
        <f>"NCIA10290864"</f>
        <v>NCIA10290864</v>
      </c>
      <c r="V86" s="4" t="str">
        <f>"16347/0003"</f>
        <v>16347/0003</v>
      </c>
      <c r="W86" s="4" t="s">
        <v>36</v>
      </c>
      <c r="X86" s="4" t="str">
        <f>"02MQ7"</f>
        <v>02MQ7</v>
      </c>
      <c r="Y86" s="4" t="str">
        <f>"732-00357-00"</f>
        <v>732-00357-00</v>
      </c>
      <c r="Z86" s="4" t="str">
        <f>""</f>
        <v/>
      </c>
      <c r="AA86" s="4" t="str">
        <f>""</f>
        <v/>
      </c>
      <c r="AB86" s="5">
        <v>43465</v>
      </c>
      <c r="AC86" s="6">
        <v>7692696255333330</v>
      </c>
    </row>
    <row r="87" spans="1:29" ht="14.45" customHeight="1" x14ac:dyDescent="0.25">
      <c r="A87" s="4" t="s">
        <v>25</v>
      </c>
      <c r="B87" s="4" t="s">
        <v>139</v>
      </c>
      <c r="C87" s="4" t="s">
        <v>140</v>
      </c>
      <c r="D87" s="4" t="s">
        <v>28</v>
      </c>
      <c r="E87" s="4" t="s">
        <v>141</v>
      </c>
      <c r="F87" s="4" t="s">
        <v>142</v>
      </c>
      <c r="G87" s="4" t="s">
        <v>142</v>
      </c>
      <c r="H87" s="4" t="s">
        <v>143</v>
      </c>
      <c r="I87" s="4" t="s">
        <v>158</v>
      </c>
      <c r="J87" s="4" t="str">
        <f>"6115SB0005593"</f>
        <v>6115SB0005593</v>
      </c>
      <c r="K87" s="4" t="s">
        <v>210</v>
      </c>
      <c r="L87" s="4" t="str">
        <f>""</f>
        <v/>
      </c>
      <c r="M87" s="4" t="str">
        <f>""</f>
        <v/>
      </c>
      <c r="N87" s="4" t="s">
        <v>34</v>
      </c>
      <c r="O87" s="3"/>
      <c r="P87" s="3"/>
      <c r="Q87" s="3"/>
      <c r="R87" s="4" t="s">
        <v>35</v>
      </c>
      <c r="S87" s="3"/>
      <c r="T87" s="4" t="str">
        <f>"825-4009-900"</f>
        <v>825-4009-900</v>
      </c>
      <c r="U87" s="4" t="str">
        <f>"NCIA10144135"</f>
        <v>NCIA10144135</v>
      </c>
      <c r="V87" s="4" t="str">
        <f>"001"</f>
        <v>001</v>
      </c>
      <c r="W87" s="4" t="s">
        <v>36</v>
      </c>
      <c r="X87" s="4" t="str">
        <f>"A4444"</f>
        <v>A4444</v>
      </c>
      <c r="Y87" s="4" t="str">
        <f>"TEKNEL DGA 825"</f>
        <v>TEKNEL DGA 825</v>
      </c>
      <c r="Z87" s="4" t="str">
        <f>""</f>
        <v/>
      </c>
      <c r="AA87" s="4" t="str">
        <f>""</f>
        <v/>
      </c>
      <c r="AB87" s="5">
        <v>43465</v>
      </c>
      <c r="AC87" s="4">
        <v>0</v>
      </c>
    </row>
    <row r="88" spans="1:29" ht="14.45" customHeight="1" x14ac:dyDescent="0.25">
      <c r="A88" s="4" t="s">
        <v>25</v>
      </c>
      <c r="B88" s="4" t="s">
        <v>139</v>
      </c>
      <c r="C88" s="4" t="s">
        <v>140</v>
      </c>
      <c r="D88" s="4" t="s">
        <v>28</v>
      </c>
      <c r="E88" s="4" t="s">
        <v>141</v>
      </c>
      <c r="F88" s="4" t="s">
        <v>142</v>
      </c>
      <c r="G88" s="4" t="s">
        <v>142</v>
      </c>
      <c r="H88" s="4" t="s">
        <v>143</v>
      </c>
      <c r="I88" s="4" t="s">
        <v>158</v>
      </c>
      <c r="J88" s="4" t="str">
        <f>"6115SB0005593"</f>
        <v>6115SB0005593</v>
      </c>
      <c r="K88" s="4" t="s">
        <v>210</v>
      </c>
      <c r="L88" s="4" t="str">
        <f>""</f>
        <v/>
      </c>
      <c r="M88" s="4" t="str">
        <f>""</f>
        <v/>
      </c>
      <c r="N88" s="4" t="s">
        <v>34</v>
      </c>
      <c r="O88" s="3"/>
      <c r="P88" s="3"/>
      <c r="Q88" s="3"/>
      <c r="R88" s="4" t="s">
        <v>35</v>
      </c>
      <c r="S88" s="3"/>
      <c r="T88" s="4" t="str">
        <f>"825-4009-900"</f>
        <v>825-4009-900</v>
      </c>
      <c r="U88" s="4" t="str">
        <f>"NCIA10144138"</f>
        <v>NCIA10144138</v>
      </c>
      <c r="V88" s="4" t="str">
        <f>"002"</f>
        <v>002</v>
      </c>
      <c r="W88" s="4" t="s">
        <v>36</v>
      </c>
      <c r="X88" s="4" t="str">
        <f>"A4444"</f>
        <v>A4444</v>
      </c>
      <c r="Y88" s="4" t="str">
        <f>"TEKNEL DGA 825"</f>
        <v>TEKNEL DGA 825</v>
      </c>
      <c r="Z88" s="4" t="str">
        <f>""</f>
        <v/>
      </c>
      <c r="AA88" s="4" t="str">
        <f>""</f>
        <v/>
      </c>
      <c r="AB88" s="5">
        <v>43465</v>
      </c>
      <c r="AC88" s="4">
        <v>0</v>
      </c>
    </row>
    <row r="89" spans="1:29" ht="14.45" customHeight="1" x14ac:dyDescent="0.25">
      <c r="A89" s="4" t="s">
        <v>25</v>
      </c>
      <c r="B89" s="4" t="s">
        <v>139</v>
      </c>
      <c r="C89" s="4" t="s">
        <v>140</v>
      </c>
      <c r="D89" s="4" t="s">
        <v>28</v>
      </c>
      <c r="E89" s="4" t="s">
        <v>141</v>
      </c>
      <c r="F89" s="4" t="s">
        <v>142</v>
      </c>
      <c r="G89" s="4" t="s">
        <v>142</v>
      </c>
      <c r="H89" s="4" t="s">
        <v>143</v>
      </c>
      <c r="I89" s="4" t="s">
        <v>178</v>
      </c>
      <c r="J89" s="4" t="str">
        <f>"6130SB0016770"</f>
        <v>6130SB0016770</v>
      </c>
      <c r="K89" s="4" t="s">
        <v>211</v>
      </c>
      <c r="L89" s="4" t="str">
        <f>""</f>
        <v/>
      </c>
      <c r="M89" s="4" t="str">
        <f>""</f>
        <v/>
      </c>
      <c r="N89" s="4" t="s">
        <v>34</v>
      </c>
      <c r="O89" s="3"/>
      <c r="P89" s="3"/>
      <c r="Q89" s="3"/>
      <c r="R89" s="4" t="s">
        <v>35</v>
      </c>
      <c r="S89" s="3"/>
      <c r="T89" s="4" t="str">
        <f>"ZC1224401100000"</f>
        <v>ZC1224401100000</v>
      </c>
      <c r="U89" s="4" t="str">
        <f>"03-117077"</f>
        <v>03-117077</v>
      </c>
      <c r="V89" s="4" t="str">
        <f>"BC392P0003"</f>
        <v>BC392P0003</v>
      </c>
      <c r="W89" s="4" t="s">
        <v>36</v>
      </c>
      <c r="X89" s="4" t="str">
        <f>"31795"</f>
        <v>31795</v>
      </c>
      <c r="Y89" s="4" t="str">
        <f>"ZC1224401100000"</f>
        <v>ZC1224401100000</v>
      </c>
      <c r="Z89" s="4" t="str">
        <f>""</f>
        <v/>
      </c>
      <c r="AA89" s="4" t="str">
        <f>""</f>
        <v/>
      </c>
      <c r="AB89" s="5">
        <v>43465</v>
      </c>
      <c r="AC89" s="4">
        <v>0</v>
      </c>
    </row>
    <row r="90" spans="1:29" ht="14.45" customHeight="1" x14ac:dyDescent="0.25">
      <c r="A90" s="4" t="s">
        <v>25</v>
      </c>
      <c r="B90" s="4" t="s">
        <v>139</v>
      </c>
      <c r="C90" s="4" t="s">
        <v>140</v>
      </c>
      <c r="D90" s="4" t="s">
        <v>28</v>
      </c>
      <c r="E90" s="4" t="s">
        <v>141</v>
      </c>
      <c r="F90" s="4" t="s">
        <v>142</v>
      </c>
      <c r="G90" s="4" t="s">
        <v>142</v>
      </c>
      <c r="H90" s="4" t="s">
        <v>143</v>
      </c>
      <c r="I90" s="4" t="s">
        <v>178</v>
      </c>
      <c r="J90" s="4" t="str">
        <f>"6130SB0016770"</f>
        <v>6130SB0016770</v>
      </c>
      <c r="K90" s="4" t="s">
        <v>211</v>
      </c>
      <c r="L90" s="4" t="str">
        <f>""</f>
        <v/>
      </c>
      <c r="M90" s="4" t="str">
        <f>""</f>
        <v/>
      </c>
      <c r="N90" s="4" t="s">
        <v>34</v>
      </c>
      <c r="O90" s="3"/>
      <c r="P90" s="3"/>
      <c r="Q90" s="3"/>
      <c r="R90" s="4" t="s">
        <v>35</v>
      </c>
      <c r="S90" s="3"/>
      <c r="T90" s="4" t="str">
        <f>"ZC1224401100000"</f>
        <v>ZC1224401100000</v>
      </c>
      <c r="U90" s="4" t="str">
        <f>"03-117078"</f>
        <v>03-117078</v>
      </c>
      <c r="V90" s="4" t="str">
        <f>"BC383P0032"</f>
        <v>BC383P0032</v>
      </c>
      <c r="W90" s="4" t="s">
        <v>36</v>
      </c>
      <c r="X90" s="4" t="str">
        <f>"31795"</f>
        <v>31795</v>
      </c>
      <c r="Y90" s="4" t="str">
        <f>"ZC1224401100000"</f>
        <v>ZC1224401100000</v>
      </c>
      <c r="Z90" s="4" t="str">
        <f>""</f>
        <v/>
      </c>
      <c r="AA90" s="4" t="str">
        <f>""</f>
        <v/>
      </c>
      <c r="AB90" s="5">
        <v>43465</v>
      </c>
      <c r="AC90" s="4">
        <v>0</v>
      </c>
    </row>
    <row r="91" spans="1:29" ht="14.45" customHeight="1" x14ac:dyDescent="0.25">
      <c r="A91" s="4" t="s">
        <v>25</v>
      </c>
      <c r="B91" s="4" t="s">
        <v>139</v>
      </c>
      <c r="C91" s="4" t="s">
        <v>140</v>
      </c>
      <c r="D91" s="4" t="s">
        <v>28</v>
      </c>
      <c r="E91" s="4" t="s">
        <v>141</v>
      </c>
      <c r="F91" s="4" t="s">
        <v>142</v>
      </c>
      <c r="G91" s="4" t="s">
        <v>142</v>
      </c>
      <c r="H91" s="4" t="s">
        <v>143</v>
      </c>
      <c r="I91" s="4" t="s">
        <v>212</v>
      </c>
      <c r="J91" s="4" t="str">
        <f>"6150SB0017382"</f>
        <v>6150SB0017382</v>
      </c>
      <c r="K91" s="4" t="s">
        <v>213</v>
      </c>
      <c r="L91" s="4" t="str">
        <f>""</f>
        <v/>
      </c>
      <c r="M91" s="4" t="str">
        <f>""</f>
        <v/>
      </c>
      <c r="N91" s="4" t="s">
        <v>34</v>
      </c>
      <c r="O91" s="3"/>
      <c r="P91" s="3"/>
      <c r="Q91" s="3"/>
      <c r="R91" s="4" t="s">
        <v>35</v>
      </c>
      <c r="S91" s="3"/>
      <c r="T91" s="4" t="str">
        <f>"5895151634667"</f>
        <v>5895151634667</v>
      </c>
      <c r="U91" s="4" t="str">
        <f>"NCIAX11187040"</f>
        <v>NCIAX11187040</v>
      </c>
      <c r="V91" s="4" t="str">
        <f>"001"</f>
        <v>001</v>
      </c>
      <c r="W91" s="4" t="s">
        <v>36</v>
      </c>
      <c r="X91" s="4" t="str">
        <f>"A3682"</f>
        <v>A3682</v>
      </c>
      <c r="Y91" s="4" t="str">
        <f>"825-4040-001"</f>
        <v>825-4040-001</v>
      </c>
      <c r="Z91" s="4" t="str">
        <f>""</f>
        <v/>
      </c>
      <c r="AA91" s="4" t="str">
        <f>""</f>
        <v/>
      </c>
      <c r="AB91" s="5">
        <v>43465</v>
      </c>
      <c r="AC91" s="4">
        <v>0</v>
      </c>
    </row>
    <row r="92" spans="1:29" ht="14.45" customHeight="1" x14ac:dyDescent="0.25">
      <c r="A92" s="4" t="s">
        <v>25</v>
      </c>
      <c r="B92" s="4" t="s">
        <v>139</v>
      </c>
      <c r="C92" s="4" t="s">
        <v>140</v>
      </c>
      <c r="D92" s="4" t="s">
        <v>28</v>
      </c>
      <c r="E92" s="4" t="s">
        <v>141</v>
      </c>
      <c r="F92" s="4" t="s">
        <v>142</v>
      </c>
      <c r="G92" s="4" t="s">
        <v>142</v>
      </c>
      <c r="H92" s="4" t="s">
        <v>143</v>
      </c>
      <c r="I92" s="4" t="s">
        <v>108</v>
      </c>
      <c r="J92" s="4" t="str">
        <f>"6605SB0002421"</f>
        <v>6605SB0002421</v>
      </c>
      <c r="K92" s="4" t="s">
        <v>109</v>
      </c>
      <c r="L92" s="4" t="str">
        <f>""</f>
        <v/>
      </c>
      <c r="M92" s="4" t="str">
        <f>""</f>
        <v/>
      </c>
      <c r="N92" s="4" t="s">
        <v>34</v>
      </c>
      <c r="O92" s="3"/>
      <c r="P92" s="3"/>
      <c r="Q92" s="3"/>
      <c r="R92" s="4" t="s">
        <v>35</v>
      </c>
      <c r="S92" s="3"/>
      <c r="T92" s="4" t="str">
        <f>"10537-08008"</f>
        <v>10537-08008</v>
      </c>
      <c r="U92" s="4" t="str">
        <f>"01-128095"</f>
        <v>01-128095</v>
      </c>
      <c r="V92" s="4" t="str">
        <f>"1001067"</f>
        <v>1001067</v>
      </c>
      <c r="W92" s="4" t="s">
        <v>36</v>
      </c>
      <c r="X92" s="4" t="str">
        <f>"59797"</f>
        <v>59797</v>
      </c>
      <c r="Y92" s="4" t="str">
        <f>"9383-04-10"</f>
        <v>9383-04-10</v>
      </c>
      <c r="Z92" s="4" t="str">
        <f>""</f>
        <v/>
      </c>
      <c r="AA92" s="4" t="str">
        <f>""</f>
        <v/>
      </c>
      <c r="AB92" s="5">
        <v>43465</v>
      </c>
      <c r="AC92" s="4">
        <v>0</v>
      </c>
    </row>
    <row r="93" spans="1:29" ht="14.45" customHeight="1" x14ac:dyDescent="0.25">
      <c r="A93" s="4" t="s">
        <v>25</v>
      </c>
      <c r="B93" s="4" t="s">
        <v>139</v>
      </c>
      <c r="C93" s="4" t="s">
        <v>140</v>
      </c>
      <c r="D93" s="4" t="s">
        <v>28</v>
      </c>
      <c r="E93" s="4" t="s">
        <v>141</v>
      </c>
      <c r="F93" s="4" t="s">
        <v>142</v>
      </c>
      <c r="G93" s="4" t="s">
        <v>142</v>
      </c>
      <c r="H93" s="4" t="s">
        <v>143</v>
      </c>
      <c r="I93" s="4" t="s">
        <v>108</v>
      </c>
      <c r="J93" s="4" t="str">
        <f>"6605SB0002421"</f>
        <v>6605SB0002421</v>
      </c>
      <c r="K93" s="4" t="s">
        <v>109</v>
      </c>
      <c r="L93" s="4" t="str">
        <f>""</f>
        <v/>
      </c>
      <c r="M93" s="4" t="str">
        <f>""</f>
        <v/>
      </c>
      <c r="N93" s="4" t="s">
        <v>34</v>
      </c>
      <c r="O93" s="3"/>
      <c r="P93" s="3"/>
      <c r="Q93" s="3"/>
      <c r="R93" s="4" t="s">
        <v>35</v>
      </c>
      <c r="S93" s="3"/>
      <c r="T93" s="4" t="str">
        <f>"10537-08008"</f>
        <v>10537-08008</v>
      </c>
      <c r="U93" s="4" t="str">
        <f>"03-117235"</f>
        <v>03-117235</v>
      </c>
      <c r="V93" s="4" t="str">
        <f>"1001095"</f>
        <v>1001095</v>
      </c>
      <c r="W93" s="4" t="s">
        <v>36</v>
      </c>
      <c r="X93" s="4" t="str">
        <f>"02MQ7"</f>
        <v>02MQ7</v>
      </c>
      <c r="Y93" s="4" t="str">
        <f>"10537-08008"</f>
        <v>10537-08008</v>
      </c>
      <c r="Z93" s="4" t="str">
        <f>""</f>
        <v/>
      </c>
      <c r="AA93" s="4" t="str">
        <f>""</f>
        <v/>
      </c>
      <c r="AB93" s="5">
        <v>43465</v>
      </c>
      <c r="AC93" s="4">
        <v>0</v>
      </c>
    </row>
    <row r="94" spans="1:29" ht="14.45" customHeight="1" x14ac:dyDescent="0.25">
      <c r="A94" s="4" t="s">
        <v>25</v>
      </c>
      <c r="B94" s="4" t="s">
        <v>139</v>
      </c>
      <c r="C94" s="4" t="s">
        <v>140</v>
      </c>
      <c r="D94" s="4" t="s">
        <v>28</v>
      </c>
      <c r="E94" s="4" t="s">
        <v>141</v>
      </c>
      <c r="F94" s="4" t="s">
        <v>142</v>
      </c>
      <c r="G94" s="4" t="s">
        <v>142</v>
      </c>
      <c r="H94" s="4" t="s">
        <v>143</v>
      </c>
      <c r="I94" s="4" t="s">
        <v>189</v>
      </c>
      <c r="J94" s="4" t="str">
        <f>"6605SB0017602"</f>
        <v>6605SB0017602</v>
      </c>
      <c r="K94" s="4" t="s">
        <v>214</v>
      </c>
      <c r="L94" s="4" t="str">
        <f>""</f>
        <v/>
      </c>
      <c r="M94" s="4" t="str">
        <f>""</f>
        <v/>
      </c>
      <c r="N94" s="4" t="s">
        <v>34</v>
      </c>
      <c r="O94" s="3"/>
      <c r="P94" s="3"/>
      <c r="Q94" s="3"/>
      <c r="R94" s="4" t="s">
        <v>35</v>
      </c>
      <c r="S94" s="3"/>
      <c r="T94" s="4" t="str">
        <f>"6605014478975"</f>
        <v>6605014478975</v>
      </c>
      <c r="U94" s="4" t="str">
        <f>"NCIAX1016059"</f>
        <v>NCIAX1016059</v>
      </c>
      <c r="V94" s="4" t="str">
        <f>"03010203"</f>
        <v>03010203</v>
      </c>
      <c r="W94" s="4" t="s">
        <v>36</v>
      </c>
      <c r="X94" s="4" t="str">
        <f>"08QV9"</f>
        <v>08QV9</v>
      </c>
      <c r="Y94" s="4" t="str">
        <f>"01-0177-15"</f>
        <v>01-0177-15</v>
      </c>
      <c r="Z94" s="4" t="str">
        <f>""</f>
        <v/>
      </c>
      <c r="AA94" s="4" t="str">
        <f>""</f>
        <v/>
      </c>
      <c r="AB94" s="5">
        <v>43465</v>
      </c>
      <c r="AC94" s="4">
        <v>0</v>
      </c>
    </row>
    <row r="95" spans="1:29" ht="14.45" customHeight="1" x14ac:dyDescent="0.25">
      <c r="A95" s="4" t="s">
        <v>25</v>
      </c>
      <c r="B95" s="4" t="s">
        <v>139</v>
      </c>
      <c r="C95" s="4" t="s">
        <v>140</v>
      </c>
      <c r="D95" s="4" t="s">
        <v>28</v>
      </c>
      <c r="E95" s="4" t="s">
        <v>141</v>
      </c>
      <c r="F95" s="4" t="s">
        <v>142</v>
      </c>
      <c r="G95" s="4" t="s">
        <v>142</v>
      </c>
      <c r="H95" s="4" t="s">
        <v>143</v>
      </c>
      <c r="I95" s="4" t="s">
        <v>162</v>
      </c>
      <c r="J95" s="4" t="str">
        <f>"6625SB0000993"</f>
        <v>6625SB0000993</v>
      </c>
      <c r="K95" s="4" t="s">
        <v>215</v>
      </c>
      <c r="L95" s="4" t="str">
        <f>""</f>
        <v/>
      </c>
      <c r="M95" s="4" t="str">
        <f>""</f>
        <v/>
      </c>
      <c r="N95" s="4" t="s">
        <v>34</v>
      </c>
      <c r="O95" s="3"/>
      <c r="P95" s="3"/>
      <c r="Q95" s="3"/>
      <c r="R95" s="4" t="s">
        <v>35</v>
      </c>
      <c r="S95" s="3"/>
      <c r="T95" s="4" t="str">
        <f>"825-4023-001"</f>
        <v>825-4023-001</v>
      </c>
      <c r="U95" s="4" t="str">
        <f>"03-51253"</f>
        <v>03-51253</v>
      </c>
      <c r="V95" s="4" t="str">
        <f>"002404"</f>
        <v>002404</v>
      </c>
      <c r="W95" s="4" t="s">
        <v>36</v>
      </c>
      <c r="X95" s="4" t="str">
        <f>"0T1F7"</f>
        <v>0T1F7</v>
      </c>
      <c r="Y95" s="4" t="str">
        <f>"68147C"</f>
        <v>68147C</v>
      </c>
      <c r="Z95" s="4" t="str">
        <f>""</f>
        <v/>
      </c>
      <c r="AA95" s="4" t="str">
        <f>""</f>
        <v/>
      </c>
      <c r="AB95" s="5">
        <v>43465</v>
      </c>
      <c r="AC95" s="4">
        <v>0</v>
      </c>
    </row>
    <row r="96" spans="1:29" ht="14.45" customHeight="1" x14ac:dyDescent="0.25">
      <c r="A96" s="4" t="s">
        <v>25</v>
      </c>
      <c r="B96" s="4" t="s">
        <v>139</v>
      </c>
      <c r="C96" s="4" t="s">
        <v>140</v>
      </c>
      <c r="D96" s="4" t="s">
        <v>28</v>
      </c>
      <c r="E96" s="4" t="s">
        <v>141</v>
      </c>
      <c r="F96" s="4" t="s">
        <v>142</v>
      </c>
      <c r="G96" s="4" t="s">
        <v>142</v>
      </c>
      <c r="H96" s="4" t="s">
        <v>143</v>
      </c>
      <c r="I96" s="4" t="s">
        <v>216</v>
      </c>
      <c r="J96" s="4" t="str">
        <f>"6625SB0001209"</f>
        <v>6625SB0001209</v>
      </c>
      <c r="K96" s="4" t="s">
        <v>217</v>
      </c>
      <c r="L96" s="4" t="str">
        <f>""</f>
        <v/>
      </c>
      <c r="M96" s="4" t="str">
        <f>""</f>
        <v/>
      </c>
      <c r="N96" s="4" t="s">
        <v>34</v>
      </c>
      <c r="O96" s="3"/>
      <c r="P96" s="3"/>
      <c r="Q96" s="3"/>
      <c r="R96" s="4" t="s">
        <v>35</v>
      </c>
      <c r="S96" s="3"/>
      <c r="T96" s="4" t="str">
        <f>"FLUKE 117"</f>
        <v>FLUKE 117</v>
      </c>
      <c r="U96" s="4" t="str">
        <f>"NCIA10280638"</f>
        <v>NCIA10280638</v>
      </c>
      <c r="V96" s="4" t="str">
        <f>"19460858"</f>
        <v>19460858</v>
      </c>
      <c r="W96" s="4" t="s">
        <v>36</v>
      </c>
      <c r="X96" s="4" t="str">
        <f>"89536"</f>
        <v>89536</v>
      </c>
      <c r="Y96" s="4" t="str">
        <f>"FLUKE 117"</f>
        <v>FLUKE 117</v>
      </c>
      <c r="Z96" s="4" t="str">
        <f>""</f>
        <v/>
      </c>
      <c r="AA96" s="4" t="str">
        <f>""</f>
        <v/>
      </c>
      <c r="AB96" s="5">
        <v>43465</v>
      </c>
      <c r="AC96" s="4">
        <v>0</v>
      </c>
    </row>
    <row r="97" spans="1:29" ht="14.45" customHeight="1" x14ac:dyDescent="0.25">
      <c r="A97" s="4" t="s">
        <v>25</v>
      </c>
      <c r="B97" s="4" t="s">
        <v>139</v>
      </c>
      <c r="C97" s="4" t="s">
        <v>140</v>
      </c>
      <c r="D97" s="4" t="s">
        <v>28</v>
      </c>
      <c r="E97" s="4" t="s">
        <v>141</v>
      </c>
      <c r="F97" s="4" t="s">
        <v>142</v>
      </c>
      <c r="G97" s="4" t="s">
        <v>142</v>
      </c>
      <c r="H97" s="4" t="s">
        <v>143</v>
      </c>
      <c r="I97" s="4" t="s">
        <v>162</v>
      </c>
      <c r="J97" s="4" t="str">
        <f>"6625SB0002251"</f>
        <v>6625SB0002251</v>
      </c>
      <c r="K97" s="4" t="s">
        <v>218</v>
      </c>
      <c r="L97" s="4" t="str">
        <f>""</f>
        <v/>
      </c>
      <c r="M97" s="4" t="str">
        <f>""</f>
        <v/>
      </c>
      <c r="N97" s="4" t="s">
        <v>34</v>
      </c>
      <c r="O97" s="3"/>
      <c r="P97" s="3"/>
      <c r="Q97" s="3"/>
      <c r="R97" s="4" t="s">
        <v>35</v>
      </c>
      <c r="S97" s="3"/>
      <c r="T97" s="4" t="str">
        <f>"825-4022-001"</f>
        <v>825-4022-001</v>
      </c>
      <c r="U97" s="4" t="str">
        <f>"03-90366"</f>
        <v>03-90366</v>
      </c>
      <c r="V97" s="4" t="str">
        <f>"6200712579"</f>
        <v>6200712579</v>
      </c>
      <c r="W97" s="4" t="s">
        <v>36</v>
      </c>
      <c r="X97" s="4" t="str">
        <f>"0T1F7"</f>
        <v>0T1F7</v>
      </c>
      <c r="Y97" s="4" t="str">
        <f>"MS2665C"</f>
        <v>MS2665C</v>
      </c>
      <c r="Z97" s="4" t="str">
        <f>""</f>
        <v/>
      </c>
      <c r="AA97" s="4" t="str">
        <f>""</f>
        <v/>
      </c>
      <c r="AB97" s="5">
        <v>43465</v>
      </c>
      <c r="AC97" s="4">
        <v>0</v>
      </c>
    </row>
    <row r="98" spans="1:29" ht="14.45" customHeight="1" x14ac:dyDescent="0.25">
      <c r="A98" s="4" t="s">
        <v>25</v>
      </c>
      <c r="B98" s="4" t="s">
        <v>139</v>
      </c>
      <c r="C98" s="4" t="s">
        <v>140</v>
      </c>
      <c r="D98" s="4" t="s">
        <v>28</v>
      </c>
      <c r="E98" s="4" t="s">
        <v>141</v>
      </c>
      <c r="F98" s="4" t="s">
        <v>142</v>
      </c>
      <c r="G98" s="4" t="s">
        <v>142</v>
      </c>
      <c r="H98" s="4" t="s">
        <v>143</v>
      </c>
      <c r="I98" s="4" t="s">
        <v>219</v>
      </c>
      <c r="J98" s="4" t="str">
        <f>"6625SB0002780"</f>
        <v>6625SB0002780</v>
      </c>
      <c r="K98" s="4" t="s">
        <v>220</v>
      </c>
      <c r="L98" s="4" t="str">
        <f>""</f>
        <v/>
      </c>
      <c r="M98" s="4" t="str">
        <f>""</f>
        <v/>
      </c>
      <c r="N98" s="4" t="s">
        <v>34</v>
      </c>
      <c r="O98" s="3"/>
      <c r="P98" s="3"/>
      <c r="Q98" s="3"/>
      <c r="R98" s="4" t="s">
        <v>35</v>
      </c>
      <c r="S98" s="3"/>
      <c r="T98" s="4" t="str">
        <f>"CMA-3000"</f>
        <v>CMA-3000</v>
      </c>
      <c r="U98" s="4" t="str">
        <f>"03-118588"</f>
        <v>03-118588</v>
      </c>
      <c r="V98" s="4" t="str">
        <f>"854726006"</f>
        <v>854726006</v>
      </c>
      <c r="W98" s="4" t="s">
        <v>36</v>
      </c>
      <c r="X98" s="4" t="str">
        <f>"C6248"</f>
        <v>C6248</v>
      </c>
      <c r="Y98" s="4" t="str">
        <f>"CMA-3000"</f>
        <v>CMA-3000</v>
      </c>
      <c r="Z98" s="4" t="str">
        <f>""</f>
        <v/>
      </c>
      <c r="AA98" s="4" t="str">
        <f>""</f>
        <v/>
      </c>
      <c r="AB98" s="5">
        <v>43465</v>
      </c>
      <c r="AC98" s="4">
        <v>0</v>
      </c>
    </row>
    <row r="99" spans="1:29" ht="14.45" customHeight="1" x14ac:dyDescent="0.25">
      <c r="A99" s="4" t="s">
        <v>25</v>
      </c>
      <c r="B99" s="4" t="s">
        <v>139</v>
      </c>
      <c r="C99" s="4" t="s">
        <v>140</v>
      </c>
      <c r="D99" s="4" t="s">
        <v>28</v>
      </c>
      <c r="E99" s="4" t="s">
        <v>141</v>
      </c>
      <c r="F99" s="4" t="s">
        <v>142</v>
      </c>
      <c r="G99" s="4" t="s">
        <v>142</v>
      </c>
      <c r="H99" s="4" t="s">
        <v>143</v>
      </c>
      <c r="I99" s="4" t="s">
        <v>221</v>
      </c>
      <c r="J99" s="4" t="str">
        <f>"6625SB0002830"</f>
        <v>6625SB0002830</v>
      </c>
      <c r="K99" s="4" t="s">
        <v>222</v>
      </c>
      <c r="L99" s="4" t="str">
        <f>""</f>
        <v/>
      </c>
      <c r="M99" s="4" t="str">
        <f>""</f>
        <v/>
      </c>
      <c r="N99" s="4" t="s">
        <v>34</v>
      </c>
      <c r="O99" s="3"/>
      <c r="P99" s="3"/>
      <c r="Q99" s="3"/>
      <c r="R99" s="4" t="s">
        <v>35</v>
      </c>
      <c r="S99" s="3"/>
      <c r="T99" s="4" t="str">
        <f>"6625014591860"</f>
        <v>6625014591860</v>
      </c>
      <c r="U99" s="4" t="str">
        <f>"03-97316"</f>
        <v>03-97316</v>
      </c>
      <c r="V99" s="4" t="str">
        <f>"11003"</f>
        <v>11003</v>
      </c>
      <c r="W99" s="4" t="s">
        <v>36</v>
      </c>
      <c r="X99" s="4" t="str">
        <f>"99899"</f>
        <v>99899</v>
      </c>
      <c r="Y99" s="4" t="str">
        <f>"8781"</f>
        <v>8781</v>
      </c>
      <c r="Z99" s="4" t="str">
        <f>""</f>
        <v/>
      </c>
      <c r="AA99" s="4" t="str">
        <f>""</f>
        <v/>
      </c>
      <c r="AB99" s="5">
        <v>43465</v>
      </c>
      <c r="AC99" s="4">
        <v>0</v>
      </c>
    </row>
    <row r="100" spans="1:29" ht="14.45" customHeight="1" x14ac:dyDescent="0.25">
      <c r="A100" s="4" t="s">
        <v>25</v>
      </c>
      <c r="B100" s="4" t="s">
        <v>139</v>
      </c>
      <c r="C100" s="4" t="s">
        <v>140</v>
      </c>
      <c r="D100" s="4" t="s">
        <v>28</v>
      </c>
      <c r="E100" s="4" t="s">
        <v>141</v>
      </c>
      <c r="F100" s="4" t="s">
        <v>142</v>
      </c>
      <c r="G100" s="4" t="s">
        <v>142</v>
      </c>
      <c r="H100" s="4" t="s">
        <v>143</v>
      </c>
      <c r="I100" s="4" t="s">
        <v>223</v>
      </c>
      <c r="J100" s="4" t="str">
        <f>"6625SB0003392"</f>
        <v>6625SB0003392</v>
      </c>
      <c r="K100" s="4" t="s">
        <v>224</v>
      </c>
      <c r="L100" s="4" t="str">
        <f>""</f>
        <v/>
      </c>
      <c r="M100" s="4" t="str">
        <f>""</f>
        <v/>
      </c>
      <c r="N100" s="4" t="s">
        <v>34</v>
      </c>
      <c r="O100" s="3"/>
      <c r="P100" s="3"/>
      <c r="Q100" s="3"/>
      <c r="R100" s="4" t="s">
        <v>35</v>
      </c>
      <c r="S100" s="3"/>
      <c r="T100" s="4" t="str">
        <f>"6625013805461"</f>
        <v>6625013805461</v>
      </c>
      <c r="U100" s="4" t="str">
        <f>"03-122807"</f>
        <v>03-122807</v>
      </c>
      <c r="V100" s="4" t="str">
        <f>"01037"</f>
        <v>01037</v>
      </c>
      <c r="W100" s="4" t="s">
        <v>36</v>
      </c>
      <c r="X100" s="4" t="str">
        <f>"99899"</f>
        <v>99899</v>
      </c>
      <c r="Y100" s="4" t="str">
        <f>"8712"</f>
        <v>8712</v>
      </c>
      <c r="Z100" s="4" t="str">
        <f>""</f>
        <v/>
      </c>
      <c r="AA100" s="4" t="str">
        <f>""</f>
        <v/>
      </c>
      <c r="AB100" s="5">
        <v>43465</v>
      </c>
      <c r="AC100" s="4">
        <v>0</v>
      </c>
    </row>
    <row r="101" spans="1:29" ht="14.45" customHeight="1" x14ac:dyDescent="0.25">
      <c r="A101" s="4" t="s">
        <v>25</v>
      </c>
      <c r="B101" s="4" t="s">
        <v>139</v>
      </c>
      <c r="C101" s="4" t="s">
        <v>140</v>
      </c>
      <c r="D101" s="4" t="s">
        <v>28</v>
      </c>
      <c r="E101" s="4" t="s">
        <v>141</v>
      </c>
      <c r="F101" s="4" t="s">
        <v>142</v>
      </c>
      <c r="G101" s="4" t="s">
        <v>142</v>
      </c>
      <c r="H101" s="4" t="s">
        <v>143</v>
      </c>
      <c r="I101" s="4" t="s">
        <v>225</v>
      </c>
      <c r="J101" s="4" t="str">
        <f>"6625SB0004055"</f>
        <v>6625SB0004055</v>
      </c>
      <c r="K101" s="4" t="s">
        <v>226</v>
      </c>
      <c r="L101" s="4" t="str">
        <f>""</f>
        <v/>
      </c>
      <c r="M101" s="4" t="str">
        <f>""</f>
        <v/>
      </c>
      <c r="N101" s="4" t="s">
        <v>34</v>
      </c>
      <c r="O101" s="3"/>
      <c r="P101" s="3"/>
      <c r="Q101" s="3"/>
      <c r="R101" s="4" t="s">
        <v>35</v>
      </c>
      <c r="S101" s="3"/>
      <c r="T101" s="4" t="str">
        <f>"6625123282675"</f>
        <v>6625123282675</v>
      </c>
      <c r="U101" s="4" t="str">
        <f>"03-84885"</f>
        <v>03-84885</v>
      </c>
      <c r="V101" s="4" t="str">
        <f>"100337"</f>
        <v>100337</v>
      </c>
      <c r="W101" s="4" t="s">
        <v>36</v>
      </c>
      <c r="X101" s="4" t="str">
        <f>"D0894"</f>
        <v>D0894</v>
      </c>
      <c r="Y101" s="4" t="str">
        <f>"URV35-MODEL03"</f>
        <v>URV35-MODEL03</v>
      </c>
      <c r="Z101" s="4" t="str">
        <f>""</f>
        <v/>
      </c>
      <c r="AA101" s="4" t="str">
        <f>""</f>
        <v/>
      </c>
      <c r="AB101" s="5">
        <v>43465</v>
      </c>
      <c r="AC101" s="4">
        <v>0</v>
      </c>
    </row>
    <row r="102" spans="1:29" ht="14.45" customHeight="1" x14ac:dyDescent="0.25">
      <c r="A102" s="4" t="s">
        <v>25</v>
      </c>
      <c r="B102" s="4" t="s">
        <v>139</v>
      </c>
      <c r="C102" s="4" t="s">
        <v>140</v>
      </c>
      <c r="D102" s="4" t="s">
        <v>28</v>
      </c>
      <c r="E102" s="4" t="s">
        <v>141</v>
      </c>
      <c r="F102" s="4" t="s">
        <v>142</v>
      </c>
      <c r="G102" s="4" t="s">
        <v>142</v>
      </c>
      <c r="H102" s="4" t="s">
        <v>143</v>
      </c>
      <c r="I102" s="4" t="s">
        <v>227</v>
      </c>
      <c r="J102" s="4" t="str">
        <f>"6625SB0004511"</f>
        <v>6625SB0004511</v>
      </c>
      <c r="K102" s="4" t="s">
        <v>228</v>
      </c>
      <c r="L102" s="4" t="str">
        <f>""</f>
        <v/>
      </c>
      <c r="M102" s="4" t="str">
        <f>""</f>
        <v/>
      </c>
      <c r="N102" s="4" t="s">
        <v>34</v>
      </c>
      <c r="O102" s="3"/>
      <c r="P102" s="3"/>
      <c r="Q102" s="3"/>
      <c r="R102" s="4" t="s">
        <v>35</v>
      </c>
      <c r="S102" s="3"/>
      <c r="T102" s="4" t="str">
        <f>"6625123552053"</f>
        <v>6625123552053</v>
      </c>
      <c r="U102" s="4" t="str">
        <f>"NCIA10239139"</f>
        <v>NCIA10239139</v>
      </c>
      <c r="V102" s="4" t="str">
        <f>"BB-0314"</f>
        <v>BB-0314</v>
      </c>
      <c r="W102" s="4" t="s">
        <v>36</v>
      </c>
      <c r="X102" s="4" t="str">
        <f>"D3063"</f>
        <v>D3063</v>
      </c>
      <c r="Y102" s="4" t="str">
        <f>"BN-2251/06/E"</f>
        <v>BN-2251/06/E</v>
      </c>
      <c r="Z102" s="4" t="str">
        <f>""</f>
        <v/>
      </c>
      <c r="AA102" s="4" t="str">
        <f>""</f>
        <v/>
      </c>
      <c r="AB102" s="5">
        <v>43465</v>
      </c>
      <c r="AC102" s="4">
        <v>0</v>
      </c>
    </row>
    <row r="103" spans="1:29" ht="14.45" customHeight="1" x14ac:dyDescent="0.25">
      <c r="A103" s="4" t="s">
        <v>25</v>
      </c>
      <c r="B103" s="4" t="s">
        <v>139</v>
      </c>
      <c r="C103" s="4" t="s">
        <v>140</v>
      </c>
      <c r="D103" s="4" t="s">
        <v>28</v>
      </c>
      <c r="E103" s="4" t="s">
        <v>141</v>
      </c>
      <c r="F103" s="4" t="s">
        <v>142</v>
      </c>
      <c r="G103" s="4" t="s">
        <v>142</v>
      </c>
      <c r="H103" s="4" t="s">
        <v>143</v>
      </c>
      <c r="I103" s="4" t="s">
        <v>225</v>
      </c>
      <c r="J103" s="4" t="str">
        <f>"6625SB0004949"</f>
        <v>6625SB0004949</v>
      </c>
      <c r="K103" s="4" t="s">
        <v>229</v>
      </c>
      <c r="L103" s="4" t="str">
        <f>""</f>
        <v/>
      </c>
      <c r="M103" s="4" t="str">
        <f>""</f>
        <v/>
      </c>
      <c r="N103" s="4" t="s">
        <v>34</v>
      </c>
      <c r="O103" s="3"/>
      <c r="P103" s="3"/>
      <c r="Q103" s="3"/>
      <c r="R103" s="4" t="s">
        <v>35</v>
      </c>
      <c r="S103" s="3"/>
      <c r="T103" s="4" t="str">
        <f>"6625123401362"</f>
        <v>6625123401362</v>
      </c>
      <c r="U103" s="4" t="str">
        <f>"03-86035"</f>
        <v>03-86035</v>
      </c>
      <c r="V103" s="4" t="str">
        <f>"825948/029"</f>
        <v>825948/029</v>
      </c>
      <c r="W103" s="4" t="s">
        <v>36</v>
      </c>
      <c r="X103" s="4" t="str">
        <f>"D0894"</f>
        <v>D0894</v>
      </c>
      <c r="Y103" s="4" t="str">
        <f>"NRVZ51"</f>
        <v>NRVZ51</v>
      </c>
      <c r="Z103" s="4" t="str">
        <f>""</f>
        <v/>
      </c>
      <c r="AA103" s="4" t="str">
        <f>""</f>
        <v/>
      </c>
      <c r="AB103" s="5">
        <v>43465</v>
      </c>
      <c r="AC103" s="4">
        <v>0</v>
      </c>
    </row>
    <row r="104" spans="1:29" ht="14.45" customHeight="1" x14ac:dyDescent="0.25">
      <c r="A104" s="4" t="s">
        <v>25</v>
      </c>
      <c r="B104" s="4" t="s">
        <v>139</v>
      </c>
      <c r="C104" s="4" t="s">
        <v>140</v>
      </c>
      <c r="D104" s="4" t="s">
        <v>28</v>
      </c>
      <c r="E104" s="4" t="s">
        <v>141</v>
      </c>
      <c r="F104" s="4" t="s">
        <v>142</v>
      </c>
      <c r="G104" s="4" t="s">
        <v>142</v>
      </c>
      <c r="H104" s="4" t="s">
        <v>143</v>
      </c>
      <c r="I104" s="4" t="s">
        <v>230</v>
      </c>
      <c r="J104" s="4" t="str">
        <f>"6625SB0008443"</f>
        <v>6625SB0008443</v>
      </c>
      <c r="K104" s="4" t="s">
        <v>231</v>
      </c>
      <c r="L104" s="4" t="str">
        <f>""</f>
        <v/>
      </c>
      <c r="M104" s="4" t="str">
        <f>""</f>
        <v/>
      </c>
      <c r="N104" s="4" t="s">
        <v>34</v>
      </c>
      <c r="O104" s="3"/>
      <c r="P104" s="3"/>
      <c r="Q104" s="3"/>
      <c r="R104" s="4" t="s">
        <v>35</v>
      </c>
      <c r="S104" s="3"/>
      <c r="T104" s="4" t="str">
        <f>"FLUKE-322"</f>
        <v>FLUKE-322</v>
      </c>
      <c r="U104" s="4" t="str">
        <f>"03-116768"</f>
        <v>03-116768</v>
      </c>
      <c r="V104" s="4" t="str">
        <f>"19230132"</f>
        <v>19230132</v>
      </c>
      <c r="W104" s="4" t="s">
        <v>36</v>
      </c>
      <c r="X104" s="4" t="str">
        <f>"H7291"</f>
        <v>H7291</v>
      </c>
      <c r="Y104" s="4" t="str">
        <f>"FLUKE-322"</f>
        <v>FLUKE-322</v>
      </c>
      <c r="Z104" s="4" t="str">
        <f>""</f>
        <v/>
      </c>
      <c r="AA104" s="4" t="str">
        <f>""</f>
        <v/>
      </c>
      <c r="AB104" s="5">
        <v>43465</v>
      </c>
      <c r="AC104" s="4">
        <v>0</v>
      </c>
    </row>
    <row r="105" spans="1:29" ht="14.45" customHeight="1" x14ac:dyDescent="0.25">
      <c r="A105" s="4" t="s">
        <v>25</v>
      </c>
      <c r="B105" s="4" t="s">
        <v>139</v>
      </c>
      <c r="C105" s="4" t="s">
        <v>140</v>
      </c>
      <c r="D105" s="4" t="s">
        <v>28</v>
      </c>
      <c r="E105" s="4" t="s">
        <v>141</v>
      </c>
      <c r="F105" s="4" t="s">
        <v>142</v>
      </c>
      <c r="G105" s="4" t="s">
        <v>142</v>
      </c>
      <c r="H105" s="4" t="s">
        <v>143</v>
      </c>
      <c r="I105" s="4" t="s">
        <v>192</v>
      </c>
      <c r="J105" s="4" t="str">
        <f>"6685SB0002828"</f>
        <v>6685SB0002828</v>
      </c>
      <c r="K105" s="4" t="s">
        <v>232</v>
      </c>
      <c r="L105" s="4" t="str">
        <f>""</f>
        <v/>
      </c>
      <c r="M105" s="4" t="str">
        <f>""</f>
        <v/>
      </c>
      <c r="N105" s="4" t="s">
        <v>34</v>
      </c>
      <c r="O105" s="3"/>
      <c r="P105" s="3"/>
      <c r="Q105" s="3"/>
      <c r="R105" s="4" t="s">
        <v>35</v>
      </c>
      <c r="S105" s="3"/>
      <c r="T105" s="4" t="str">
        <f>"102813A"</f>
        <v>102813A</v>
      </c>
      <c r="U105" s="4" t="str">
        <f>"03-116844"</f>
        <v>03-116844</v>
      </c>
      <c r="V105" s="4" t="str">
        <f>"1894"</f>
        <v>1894</v>
      </c>
      <c r="W105" s="4" t="s">
        <v>36</v>
      </c>
      <c r="X105" s="4" t="str">
        <f>"52332"</f>
        <v>52332</v>
      </c>
      <c r="Y105" s="4" t="str">
        <f>"102813A"</f>
        <v>102813A</v>
      </c>
      <c r="Z105" s="4" t="str">
        <f>""</f>
        <v/>
      </c>
      <c r="AA105" s="4" t="str">
        <f>""</f>
        <v/>
      </c>
      <c r="AB105" s="5">
        <v>43465</v>
      </c>
      <c r="AC105" s="4">
        <v>0</v>
      </c>
    </row>
    <row r="106" spans="1:29" ht="14.45" customHeight="1" x14ac:dyDescent="0.25">
      <c r="A106" s="4" t="s">
        <v>25</v>
      </c>
      <c r="B106" s="4" t="s">
        <v>139</v>
      </c>
      <c r="C106" s="4" t="s">
        <v>140</v>
      </c>
      <c r="D106" s="4" t="s">
        <v>28</v>
      </c>
      <c r="E106" s="4" t="s">
        <v>141</v>
      </c>
      <c r="F106" s="4" t="s">
        <v>142</v>
      </c>
      <c r="G106" s="4" t="s">
        <v>142</v>
      </c>
      <c r="H106" s="4" t="s">
        <v>143</v>
      </c>
      <c r="I106" s="4" t="s">
        <v>192</v>
      </c>
      <c r="J106" s="4" t="str">
        <f>"6685SB0002828"</f>
        <v>6685SB0002828</v>
      </c>
      <c r="K106" s="4" t="s">
        <v>232</v>
      </c>
      <c r="L106" s="4" t="str">
        <f>""</f>
        <v/>
      </c>
      <c r="M106" s="4" t="str">
        <f>""</f>
        <v/>
      </c>
      <c r="N106" s="4" t="s">
        <v>34</v>
      </c>
      <c r="O106" s="3"/>
      <c r="P106" s="3"/>
      <c r="Q106" s="3"/>
      <c r="R106" s="4" t="s">
        <v>35</v>
      </c>
      <c r="S106" s="3"/>
      <c r="T106" s="4" t="str">
        <f>"102813A"</f>
        <v>102813A</v>
      </c>
      <c r="U106" s="4" t="str">
        <f>"03-116845"</f>
        <v>03-116845</v>
      </c>
      <c r="V106" s="4" t="str">
        <f>"1816"</f>
        <v>1816</v>
      </c>
      <c r="W106" s="4" t="s">
        <v>36</v>
      </c>
      <c r="X106" s="4" t="str">
        <f>"52332"</f>
        <v>52332</v>
      </c>
      <c r="Y106" s="4" t="str">
        <f>"102813A"</f>
        <v>102813A</v>
      </c>
      <c r="Z106" s="4" t="str">
        <f>""</f>
        <v/>
      </c>
      <c r="AA106" s="4" t="str">
        <f>""</f>
        <v/>
      </c>
      <c r="AB106" s="5">
        <v>43465</v>
      </c>
      <c r="AC106" s="4">
        <v>0</v>
      </c>
    </row>
    <row r="107" spans="1:29" ht="14.45" customHeight="1" x14ac:dyDescent="0.25">
      <c r="A107" s="4" t="s">
        <v>25</v>
      </c>
      <c r="B107" s="4" t="s">
        <v>139</v>
      </c>
      <c r="C107" s="4" t="s">
        <v>140</v>
      </c>
      <c r="D107" s="4" t="s">
        <v>28</v>
      </c>
      <c r="E107" s="4" t="s">
        <v>141</v>
      </c>
      <c r="F107" s="4" t="s">
        <v>142</v>
      </c>
      <c r="G107" s="4" t="s">
        <v>142</v>
      </c>
      <c r="H107" s="4" t="s">
        <v>143</v>
      </c>
      <c r="I107" s="4" t="s">
        <v>126</v>
      </c>
      <c r="J107" s="4" t="str">
        <f>"7021SB0000599"</f>
        <v>7021SB0000599</v>
      </c>
      <c r="K107" s="4" t="s">
        <v>233</v>
      </c>
      <c r="L107" s="4" t="str">
        <f>""</f>
        <v/>
      </c>
      <c r="M107" s="4" t="str">
        <f>""</f>
        <v/>
      </c>
      <c r="N107" s="4" t="s">
        <v>34</v>
      </c>
      <c r="O107" s="3"/>
      <c r="P107" s="3"/>
      <c r="Q107" s="3"/>
      <c r="R107" s="4" t="s">
        <v>35</v>
      </c>
      <c r="S107" s="3"/>
      <c r="T107" s="4" t="str">
        <f>"7010145666007"</f>
        <v>7010145666007</v>
      </c>
      <c r="U107" s="4" t="str">
        <f>"01-118642"</f>
        <v>01-118642</v>
      </c>
      <c r="V107" s="4" t="str">
        <f>"1111-010"</f>
        <v>1111-010</v>
      </c>
      <c r="W107" s="4" t="s">
        <v>36</v>
      </c>
      <c r="X107" s="4" t="str">
        <f>"F5511"</f>
        <v>F5511</v>
      </c>
      <c r="Y107" s="4" t="str">
        <f>"PACK 220"</f>
        <v>PACK 220</v>
      </c>
      <c r="Z107" s="4" t="str">
        <f>""</f>
        <v/>
      </c>
      <c r="AA107" s="4" t="str">
        <f>""</f>
        <v/>
      </c>
      <c r="AB107" s="5">
        <v>43465</v>
      </c>
      <c r="AC107" s="4">
        <v>0</v>
      </c>
    </row>
    <row r="108" spans="1:29" ht="14.45" customHeight="1" x14ac:dyDescent="0.25">
      <c r="A108" s="4" t="s">
        <v>25</v>
      </c>
      <c r="B108" s="4" t="s">
        <v>139</v>
      </c>
      <c r="C108" s="4" t="s">
        <v>140</v>
      </c>
      <c r="D108" s="4" t="s">
        <v>28</v>
      </c>
      <c r="E108" s="4" t="s">
        <v>141</v>
      </c>
      <c r="F108" s="4" t="s">
        <v>142</v>
      </c>
      <c r="G108" s="4" t="s">
        <v>142</v>
      </c>
      <c r="H108" s="4" t="s">
        <v>143</v>
      </c>
      <c r="I108" s="4" t="s">
        <v>126</v>
      </c>
      <c r="J108" s="4" t="str">
        <f>"7021SB0016807"</f>
        <v>7021SB0016807</v>
      </c>
      <c r="K108" s="4" t="s">
        <v>234</v>
      </c>
      <c r="L108" s="4" t="str">
        <f>""</f>
        <v/>
      </c>
      <c r="M108" s="4" t="str">
        <f>""</f>
        <v/>
      </c>
      <c r="N108" s="4" t="s">
        <v>34</v>
      </c>
      <c r="O108" s="3"/>
      <c r="P108" s="3"/>
      <c r="Q108" s="3"/>
      <c r="R108" s="4" t="s">
        <v>35</v>
      </c>
      <c r="S108" s="3"/>
      <c r="T108" s="4" t="str">
        <f>"10537-08007"</f>
        <v>10537-08007</v>
      </c>
      <c r="U108" s="4" t="str">
        <f>"03-116893"</f>
        <v>03-116893</v>
      </c>
      <c r="V108" s="4" t="str">
        <f>"FB8FTK1"</f>
        <v>FB8FTK1</v>
      </c>
      <c r="W108" s="4" t="s">
        <v>36</v>
      </c>
      <c r="X108" s="4" t="str">
        <f>"02MQ7"</f>
        <v>02MQ7</v>
      </c>
      <c r="Y108" s="4" t="str">
        <f>"10537-08007"</f>
        <v>10537-08007</v>
      </c>
      <c r="Z108" s="4" t="str">
        <f>""</f>
        <v/>
      </c>
      <c r="AA108" s="4" t="str">
        <f>""</f>
        <v/>
      </c>
      <c r="AB108" s="5">
        <v>43465</v>
      </c>
      <c r="AC108" s="4">
        <v>0</v>
      </c>
    </row>
    <row r="109" spans="1:29" ht="14.45" customHeight="1" x14ac:dyDescent="0.25">
      <c r="A109" s="4" t="s">
        <v>25</v>
      </c>
      <c r="B109" s="4" t="s">
        <v>139</v>
      </c>
      <c r="C109" s="4" t="s">
        <v>140</v>
      </c>
      <c r="D109" s="4" t="s">
        <v>28</v>
      </c>
      <c r="E109" s="4" t="s">
        <v>141</v>
      </c>
      <c r="F109" s="4" t="s">
        <v>142</v>
      </c>
      <c r="G109" s="4" t="s">
        <v>142</v>
      </c>
      <c r="H109" s="4" t="s">
        <v>143</v>
      </c>
      <c r="I109" s="4" t="s">
        <v>115</v>
      </c>
      <c r="J109" s="4" t="str">
        <f>"7021SB0016828"</f>
        <v>7021SB0016828</v>
      </c>
      <c r="K109" s="4" t="s">
        <v>116</v>
      </c>
      <c r="L109" s="4" t="str">
        <f>""</f>
        <v/>
      </c>
      <c r="M109" s="4" t="str">
        <f>""</f>
        <v/>
      </c>
      <c r="N109" s="4" t="s">
        <v>34</v>
      </c>
      <c r="O109" s="3"/>
      <c r="P109" s="3"/>
      <c r="Q109" s="3"/>
      <c r="R109" s="4" t="s">
        <v>35</v>
      </c>
      <c r="S109" s="3"/>
      <c r="T109" s="4" t="str">
        <f>"7010145666009"</f>
        <v>7010145666009</v>
      </c>
      <c r="U109" s="4" t="str">
        <f>"03-117011"</f>
        <v>03-117011</v>
      </c>
      <c r="V109" s="4" t="str">
        <f>"I8A39P0056"</f>
        <v>I8A39P0056</v>
      </c>
      <c r="W109" s="4" t="s">
        <v>36</v>
      </c>
      <c r="X109" s="4" t="str">
        <f>"FASL7"</f>
        <v>FASL7</v>
      </c>
      <c r="Y109" s="4" t="str">
        <f>"BIT-RNB P470"</f>
        <v>BIT-RNB P470</v>
      </c>
      <c r="Z109" s="4" t="str">
        <f>""</f>
        <v/>
      </c>
      <c r="AA109" s="4" t="str">
        <f>""</f>
        <v/>
      </c>
      <c r="AB109" s="5">
        <v>43465</v>
      </c>
      <c r="AC109" s="4">
        <v>0</v>
      </c>
    </row>
    <row r="110" spans="1:29" ht="14.45" customHeight="1" x14ac:dyDescent="0.25">
      <c r="A110" s="4" t="s">
        <v>25</v>
      </c>
      <c r="B110" s="4" t="s">
        <v>139</v>
      </c>
      <c r="C110" s="4" t="s">
        <v>140</v>
      </c>
      <c r="D110" s="4" t="s">
        <v>28</v>
      </c>
      <c r="E110" s="4" t="s">
        <v>141</v>
      </c>
      <c r="F110" s="4" t="s">
        <v>142</v>
      </c>
      <c r="G110" s="4" t="s">
        <v>142</v>
      </c>
      <c r="H110" s="4" t="s">
        <v>143</v>
      </c>
      <c r="I110" s="4" t="s">
        <v>235</v>
      </c>
      <c r="J110" s="4" t="str">
        <f>"7021SB0017038"</f>
        <v>7021SB0017038</v>
      </c>
      <c r="K110" s="4" t="s">
        <v>236</v>
      </c>
      <c r="L110" s="4" t="str">
        <f>""</f>
        <v/>
      </c>
      <c r="M110" s="4" t="str">
        <f>""</f>
        <v/>
      </c>
      <c r="N110" s="4" t="s">
        <v>34</v>
      </c>
      <c r="O110" s="3"/>
      <c r="P110" s="3"/>
      <c r="Q110" s="3"/>
      <c r="R110" s="4" t="s">
        <v>35</v>
      </c>
      <c r="S110" s="3"/>
      <c r="T110" s="4" t="str">
        <f>"T230P"</f>
        <v>T230P</v>
      </c>
      <c r="U110" s="4" t="str">
        <f>"03-122857"</f>
        <v>03-122857</v>
      </c>
      <c r="V110" s="4" t="str">
        <f>"HQW2LS1"</f>
        <v>HQW2LS1</v>
      </c>
      <c r="W110" s="4" t="s">
        <v>36</v>
      </c>
      <c r="X110" s="4" t="str">
        <f>"02MQ7"</f>
        <v>02MQ7</v>
      </c>
      <c r="Y110" s="4" t="str">
        <f>"10535-03002"</f>
        <v>10535-03002</v>
      </c>
      <c r="Z110" s="4" t="str">
        <f>""</f>
        <v/>
      </c>
      <c r="AA110" s="4" t="str">
        <f>""</f>
        <v/>
      </c>
      <c r="AB110" s="5">
        <v>43465</v>
      </c>
      <c r="AC110" s="4">
        <v>0</v>
      </c>
    </row>
    <row r="111" spans="1:29" ht="14.45" customHeight="1" x14ac:dyDescent="0.25">
      <c r="A111" s="4" t="s">
        <v>25</v>
      </c>
      <c r="B111" s="4" t="s">
        <v>139</v>
      </c>
      <c r="C111" s="4" t="s">
        <v>140</v>
      </c>
      <c r="D111" s="4" t="s">
        <v>28</v>
      </c>
      <c r="E111" s="4" t="s">
        <v>141</v>
      </c>
      <c r="F111" s="4" t="s">
        <v>142</v>
      </c>
      <c r="G111" s="4" t="s">
        <v>142</v>
      </c>
      <c r="H111" s="4" t="s">
        <v>143</v>
      </c>
      <c r="I111" s="4" t="s">
        <v>117</v>
      </c>
      <c r="J111" s="4" t="str">
        <f>"7021SB0038750"</f>
        <v>7021SB0038750</v>
      </c>
      <c r="K111" s="4" t="s">
        <v>118</v>
      </c>
      <c r="L111" s="4" t="str">
        <f>""</f>
        <v/>
      </c>
      <c r="M111" s="4" t="str">
        <f>""</f>
        <v/>
      </c>
      <c r="N111" s="4" t="s">
        <v>34</v>
      </c>
      <c r="O111" s="3"/>
      <c r="P111" s="3"/>
      <c r="Q111" s="3"/>
      <c r="R111" s="4" t="s">
        <v>35</v>
      </c>
      <c r="S111" s="3"/>
      <c r="T111" s="4" t="str">
        <f>""</f>
        <v/>
      </c>
      <c r="U111" s="4" t="str">
        <f>"NCIA10284285"</f>
        <v>NCIA10284285</v>
      </c>
      <c r="V111" s="4" t="str">
        <f>"RGB39S1489"</f>
        <v>RGB39S1489</v>
      </c>
      <c r="W111" s="4" t="s">
        <v>36</v>
      </c>
      <c r="X111" s="4" t="str">
        <f>"00PP6"</f>
        <v>00PP6</v>
      </c>
      <c r="Y111" s="4" t="str">
        <f>"GETAC-S400-CONFIG 1"</f>
        <v>GETAC-S400-CONFIG 1</v>
      </c>
      <c r="Z111" s="4" t="str">
        <f>""</f>
        <v/>
      </c>
      <c r="AA111" s="4" t="str">
        <f>""</f>
        <v/>
      </c>
      <c r="AB111" s="5">
        <v>43465</v>
      </c>
      <c r="AC111" s="4">
        <v>0</v>
      </c>
    </row>
    <row r="112" spans="1:29" ht="14.45" customHeight="1" x14ac:dyDescent="0.25">
      <c r="A112" s="4" t="s">
        <v>25</v>
      </c>
      <c r="B112" s="4" t="s">
        <v>139</v>
      </c>
      <c r="C112" s="4" t="s">
        <v>140</v>
      </c>
      <c r="D112" s="4" t="s">
        <v>28</v>
      </c>
      <c r="E112" s="4" t="s">
        <v>141</v>
      </c>
      <c r="F112" s="4" t="s">
        <v>142</v>
      </c>
      <c r="G112" s="4" t="s">
        <v>142</v>
      </c>
      <c r="H112" s="4" t="s">
        <v>143</v>
      </c>
      <c r="I112" s="4" t="s">
        <v>237</v>
      </c>
      <c r="J112" s="4" t="str">
        <f>"7025SB0017197"</f>
        <v>7025SB0017197</v>
      </c>
      <c r="K112" s="4" t="s">
        <v>238</v>
      </c>
      <c r="L112" s="4" t="str">
        <f>""</f>
        <v/>
      </c>
      <c r="M112" s="4" t="str">
        <f>""</f>
        <v/>
      </c>
      <c r="N112" s="4" t="s">
        <v>34</v>
      </c>
      <c r="O112" s="3"/>
      <c r="P112" s="3"/>
      <c r="Q112" s="3"/>
      <c r="R112" s="4" t="s">
        <v>35</v>
      </c>
      <c r="S112" s="3"/>
      <c r="T112" s="4" t="str">
        <f>"SGA001171B00006"</f>
        <v>SGA001171B00006</v>
      </c>
      <c r="U112" s="4" t="str">
        <f>"03-117053"</f>
        <v>03-117053</v>
      </c>
      <c r="V112" s="4" t="str">
        <f>"SP9B209C0025"</f>
        <v>SP9B209C0025</v>
      </c>
      <c r="W112" s="4" t="s">
        <v>36</v>
      </c>
      <c r="X112" s="4" t="str">
        <f>"338X4"</f>
        <v>338X4</v>
      </c>
      <c r="Y112" s="4" t="str">
        <f>"RPD-117X"</f>
        <v>RPD-117X</v>
      </c>
      <c r="Z112" s="4" t="str">
        <f>""</f>
        <v/>
      </c>
      <c r="AA112" s="4" t="str">
        <f>""</f>
        <v/>
      </c>
      <c r="AB112" s="5">
        <v>43465</v>
      </c>
      <c r="AC112" s="4">
        <v>0</v>
      </c>
    </row>
    <row r="113" spans="1:29" ht="14.45" customHeight="1" x14ac:dyDescent="0.25">
      <c r="A113" s="4" t="s">
        <v>25</v>
      </c>
      <c r="B113" s="4" t="s">
        <v>139</v>
      </c>
      <c r="C113" s="4" t="s">
        <v>140</v>
      </c>
      <c r="D113" s="4" t="s">
        <v>28</v>
      </c>
      <c r="E113" s="4" t="s">
        <v>141</v>
      </c>
      <c r="F113" s="4" t="s">
        <v>142</v>
      </c>
      <c r="G113" s="4" t="s">
        <v>142</v>
      </c>
      <c r="H113" s="4" t="s">
        <v>143</v>
      </c>
      <c r="I113" s="4" t="s">
        <v>239</v>
      </c>
      <c r="J113" s="4" t="str">
        <f>"7025SB0017296"</f>
        <v>7025SB0017296</v>
      </c>
      <c r="K113" s="4" t="s">
        <v>240</v>
      </c>
      <c r="L113" s="4" t="str">
        <f>""</f>
        <v/>
      </c>
      <c r="M113" s="4" t="str">
        <f>""</f>
        <v/>
      </c>
      <c r="N113" s="4" t="s">
        <v>34</v>
      </c>
      <c r="O113" s="3"/>
      <c r="P113" s="3"/>
      <c r="Q113" s="3"/>
      <c r="R113" s="4" t="s">
        <v>35</v>
      </c>
      <c r="S113" s="3"/>
      <c r="T113" s="4" t="str">
        <f>"7025145666042"</f>
        <v>7025145666042</v>
      </c>
      <c r="U113" s="4" t="str">
        <f>"03-116990"</f>
        <v>03-116990</v>
      </c>
      <c r="V113" s="4" t="str">
        <f>"G120309-41"</f>
        <v>G120309-41</v>
      </c>
      <c r="W113" s="4" t="s">
        <v>36</v>
      </c>
      <c r="X113" s="4" t="str">
        <f>"SAW84"</f>
        <v>SAW84</v>
      </c>
      <c r="Y113" s="4" t="str">
        <f>"LKM9278GB"</f>
        <v>LKM9278GB</v>
      </c>
      <c r="Z113" s="4" t="str">
        <f>""</f>
        <v/>
      </c>
      <c r="AA113" s="4" t="str">
        <f>""</f>
        <v/>
      </c>
      <c r="AB113" s="5">
        <v>43465</v>
      </c>
      <c r="AC113" s="4">
        <v>0</v>
      </c>
    </row>
    <row r="114" spans="1:29" ht="14.45" customHeight="1" x14ac:dyDescent="0.25">
      <c r="A114" s="4" t="s">
        <v>25</v>
      </c>
      <c r="B114" s="4" t="s">
        <v>139</v>
      </c>
      <c r="C114" s="4" t="s">
        <v>140</v>
      </c>
      <c r="D114" s="4" t="s">
        <v>28</v>
      </c>
      <c r="E114" s="4" t="s">
        <v>141</v>
      </c>
      <c r="F114" s="4" t="s">
        <v>142</v>
      </c>
      <c r="G114" s="4" t="s">
        <v>142</v>
      </c>
      <c r="H114" s="4" t="s">
        <v>143</v>
      </c>
      <c r="I114" s="4" t="s">
        <v>169</v>
      </c>
      <c r="J114" s="4" t="str">
        <f>"7035SB0000496"</f>
        <v>7035SB0000496</v>
      </c>
      <c r="K114" s="4" t="s">
        <v>241</v>
      </c>
      <c r="L114" s="4" t="str">
        <f>""</f>
        <v/>
      </c>
      <c r="M114" s="4" t="str">
        <f>""</f>
        <v/>
      </c>
      <c r="N114" s="4" t="s">
        <v>34</v>
      </c>
      <c r="O114" s="3"/>
      <c r="P114" s="3"/>
      <c r="Q114" s="3"/>
      <c r="R114" s="4" t="s">
        <v>35</v>
      </c>
      <c r="S114" s="3"/>
      <c r="T114" s="4" t="str">
        <f>"7301"</f>
        <v>7301</v>
      </c>
      <c r="U114" s="4" t="str">
        <f>"03-116993"</f>
        <v>03-116993</v>
      </c>
      <c r="V114" s="4" t="str">
        <f>"74856608"</f>
        <v>74856608</v>
      </c>
      <c r="W114" s="4" t="s">
        <v>36</v>
      </c>
      <c r="X114" s="4" t="str">
        <f>"02MQ7"</f>
        <v>02MQ7</v>
      </c>
      <c r="Y114" s="4" t="str">
        <f>"7301"</f>
        <v>7301</v>
      </c>
      <c r="Z114" s="4" t="str">
        <f>""</f>
        <v/>
      </c>
      <c r="AA114" s="4" t="str">
        <f>""</f>
        <v/>
      </c>
      <c r="AB114" s="5">
        <v>43465</v>
      </c>
      <c r="AC114" s="4">
        <v>0</v>
      </c>
    </row>
    <row r="115" spans="1:29" ht="14.45" customHeight="1" x14ac:dyDescent="0.25">
      <c r="A115" s="4" t="s">
        <v>25</v>
      </c>
      <c r="B115" s="4" t="s">
        <v>139</v>
      </c>
      <c r="C115" s="4" t="s">
        <v>140</v>
      </c>
      <c r="D115" s="4" t="s">
        <v>28</v>
      </c>
      <c r="E115" s="4" t="s">
        <v>141</v>
      </c>
      <c r="F115" s="4" t="s">
        <v>142</v>
      </c>
      <c r="G115" s="4" t="s">
        <v>142</v>
      </c>
      <c r="H115" s="4" t="s">
        <v>143</v>
      </c>
      <c r="I115" s="4" t="s">
        <v>169</v>
      </c>
      <c r="J115" s="4" t="str">
        <f>"7035SB0000496"</f>
        <v>7035SB0000496</v>
      </c>
      <c r="K115" s="4" t="s">
        <v>241</v>
      </c>
      <c r="L115" s="4" t="str">
        <f>""</f>
        <v/>
      </c>
      <c r="M115" s="4" t="str">
        <f>""</f>
        <v/>
      </c>
      <c r="N115" s="4" t="s">
        <v>34</v>
      </c>
      <c r="O115" s="3"/>
      <c r="P115" s="3"/>
      <c r="Q115" s="3"/>
      <c r="R115" s="4" t="s">
        <v>35</v>
      </c>
      <c r="S115" s="3"/>
      <c r="T115" s="4" t="str">
        <f>"7301"</f>
        <v>7301</v>
      </c>
      <c r="U115" s="4" t="str">
        <f>"03-116994"</f>
        <v>03-116994</v>
      </c>
      <c r="V115" s="4" t="str">
        <f>"74856605"</f>
        <v>74856605</v>
      </c>
      <c r="W115" s="4" t="s">
        <v>36</v>
      </c>
      <c r="X115" s="4" t="str">
        <f>"02MQ7"</f>
        <v>02MQ7</v>
      </c>
      <c r="Y115" s="4" t="str">
        <f>"7301"</f>
        <v>7301</v>
      </c>
      <c r="Z115" s="4" t="str">
        <f>""</f>
        <v/>
      </c>
      <c r="AA115" s="4" t="str">
        <f>""</f>
        <v/>
      </c>
      <c r="AB115" s="5">
        <v>43465</v>
      </c>
      <c r="AC115" s="4">
        <v>0</v>
      </c>
    </row>
    <row r="116" spans="1:29" ht="14.45" customHeight="1" x14ac:dyDescent="0.25">
      <c r="A116" s="4" t="s">
        <v>25</v>
      </c>
      <c r="B116" s="4" t="s">
        <v>139</v>
      </c>
      <c r="C116" s="4" t="s">
        <v>140</v>
      </c>
      <c r="D116" s="4" t="s">
        <v>28</v>
      </c>
      <c r="E116" s="4" t="s">
        <v>141</v>
      </c>
      <c r="F116" s="4" t="s">
        <v>142</v>
      </c>
      <c r="G116" s="4" t="s">
        <v>142</v>
      </c>
      <c r="H116" s="4" t="s">
        <v>143</v>
      </c>
      <c r="I116" s="4" t="s">
        <v>126</v>
      </c>
      <c r="J116" s="4" t="str">
        <f>"7035SB0000543"</f>
        <v>7035SB0000543</v>
      </c>
      <c r="K116" s="4" t="s">
        <v>127</v>
      </c>
      <c r="L116" s="4" t="str">
        <f>""</f>
        <v/>
      </c>
      <c r="M116" s="4" t="str">
        <f>""</f>
        <v/>
      </c>
      <c r="N116" s="4" t="s">
        <v>34</v>
      </c>
      <c r="O116" s="3"/>
      <c r="P116" s="3"/>
      <c r="Q116" s="3"/>
      <c r="R116" s="4" t="s">
        <v>35</v>
      </c>
      <c r="S116" s="3"/>
      <c r="T116" s="4" t="str">
        <f>"5930015688478"</f>
        <v>5930015688478</v>
      </c>
      <c r="U116" s="4" t="str">
        <f>"01-118645"</f>
        <v>01-118645</v>
      </c>
      <c r="V116" s="4" t="str">
        <f>"1DL18C3R0071F"</f>
        <v>1DL18C3R0071F</v>
      </c>
      <c r="W116" s="4" t="s">
        <v>36</v>
      </c>
      <c r="X116" s="4" t="str">
        <f>"1S0S8"</f>
        <v>1S0S8</v>
      </c>
      <c r="Y116" s="4" t="str">
        <f>"FS108P"</f>
        <v>FS108P</v>
      </c>
      <c r="Z116" s="4" t="str">
        <f>""</f>
        <v/>
      </c>
      <c r="AA116" s="4" t="str">
        <f>""</f>
        <v/>
      </c>
      <c r="AB116" s="5">
        <v>43465</v>
      </c>
      <c r="AC116" s="4">
        <v>0</v>
      </c>
    </row>
    <row r="117" spans="1:29" ht="14.45" customHeight="1" x14ac:dyDescent="0.25">
      <c r="A117" s="4" t="s">
        <v>25</v>
      </c>
      <c r="B117" s="4" t="s">
        <v>139</v>
      </c>
      <c r="C117" s="4" t="s">
        <v>140</v>
      </c>
      <c r="D117" s="4" t="s">
        <v>28</v>
      </c>
      <c r="E117" s="4" t="s">
        <v>141</v>
      </c>
      <c r="F117" s="4" t="s">
        <v>142</v>
      </c>
      <c r="G117" s="4" t="s">
        <v>142</v>
      </c>
      <c r="H117" s="4" t="s">
        <v>143</v>
      </c>
      <c r="I117" s="4" t="s">
        <v>242</v>
      </c>
      <c r="J117" s="4" t="str">
        <f>"7035SB0000660"</f>
        <v>7035SB0000660</v>
      </c>
      <c r="K117" s="4" t="s">
        <v>243</v>
      </c>
      <c r="L117" s="4" t="str">
        <f>""</f>
        <v/>
      </c>
      <c r="M117" s="4" t="str">
        <f>""</f>
        <v/>
      </c>
      <c r="N117" s="4" t="s">
        <v>34</v>
      </c>
      <c r="O117" s="3"/>
      <c r="P117" s="3"/>
      <c r="Q117" s="3"/>
      <c r="R117" s="4" t="s">
        <v>35</v>
      </c>
      <c r="S117" s="3"/>
      <c r="T117" s="4" t="str">
        <f>"7025015560990"</f>
        <v>7025015560990</v>
      </c>
      <c r="U117" s="4" t="str">
        <f>"03-116980"</f>
        <v>03-116980</v>
      </c>
      <c r="V117" s="4" t="str">
        <f>"FOC1329V6JR"</f>
        <v>FOC1329V6JR</v>
      </c>
      <c r="W117" s="4" t="s">
        <v>36</v>
      </c>
      <c r="X117" s="4" t="str">
        <f>"0GX96"</f>
        <v>0GX96</v>
      </c>
      <c r="Y117" s="4" t="str">
        <f>"WS-C2960G-8TC-L?"</f>
        <v>WS-C2960G-8TC-L?</v>
      </c>
      <c r="Z117" s="4" t="str">
        <f>""</f>
        <v/>
      </c>
      <c r="AA117" s="4" t="str">
        <f>""</f>
        <v/>
      </c>
      <c r="AB117" s="5">
        <v>43465</v>
      </c>
      <c r="AC117" s="4">
        <v>0</v>
      </c>
    </row>
    <row r="118" spans="1:29" ht="14.45" customHeight="1" x14ac:dyDescent="0.25">
      <c r="A118" s="4" t="s">
        <v>25</v>
      </c>
      <c r="B118" s="4" t="s">
        <v>139</v>
      </c>
      <c r="C118" s="4" t="s">
        <v>140</v>
      </c>
      <c r="D118" s="4" t="s">
        <v>28</v>
      </c>
      <c r="E118" s="4" t="s">
        <v>141</v>
      </c>
      <c r="F118" s="4" t="s">
        <v>142</v>
      </c>
      <c r="G118" s="4" t="s">
        <v>142</v>
      </c>
      <c r="H118" s="4" t="s">
        <v>143</v>
      </c>
      <c r="I118" s="4" t="s">
        <v>242</v>
      </c>
      <c r="J118" s="4" t="str">
        <f>"7035SB0000660"</f>
        <v>7035SB0000660</v>
      </c>
      <c r="K118" s="4" t="s">
        <v>243</v>
      </c>
      <c r="L118" s="4" t="str">
        <f>""</f>
        <v/>
      </c>
      <c r="M118" s="4" t="str">
        <f>""</f>
        <v/>
      </c>
      <c r="N118" s="4" t="s">
        <v>34</v>
      </c>
      <c r="O118" s="3"/>
      <c r="P118" s="3"/>
      <c r="Q118" s="3"/>
      <c r="R118" s="4" t="s">
        <v>35</v>
      </c>
      <c r="S118" s="3"/>
      <c r="T118" s="4" t="str">
        <f>"7025015560990"</f>
        <v>7025015560990</v>
      </c>
      <c r="U118" s="4" t="str">
        <f>"03-116981"</f>
        <v>03-116981</v>
      </c>
      <c r="V118" s="4" t="str">
        <f>"FOC1329V6MP"</f>
        <v>FOC1329V6MP</v>
      </c>
      <c r="W118" s="4" t="s">
        <v>36</v>
      </c>
      <c r="X118" s="4" t="str">
        <f>"0GX96"</f>
        <v>0GX96</v>
      </c>
      <c r="Y118" s="4" t="str">
        <f>"WS-C2960G-8TC-L?"</f>
        <v>WS-C2960G-8TC-L?</v>
      </c>
      <c r="Z118" s="4" t="str">
        <f>""</f>
        <v/>
      </c>
      <c r="AA118" s="4" t="str">
        <f>""</f>
        <v/>
      </c>
      <c r="AB118" s="5">
        <v>43465</v>
      </c>
      <c r="AC118" s="4">
        <v>0</v>
      </c>
    </row>
    <row r="119" spans="1:29" ht="14.45" customHeight="1" x14ac:dyDescent="0.25">
      <c r="A119" s="4" t="s">
        <v>25</v>
      </c>
      <c r="B119" s="4" t="s">
        <v>139</v>
      </c>
      <c r="C119" s="4" t="s">
        <v>140</v>
      </c>
      <c r="D119" s="4" t="s">
        <v>28</v>
      </c>
      <c r="E119" s="4" t="s">
        <v>141</v>
      </c>
      <c r="F119" s="4" t="s">
        <v>142</v>
      </c>
      <c r="G119" s="4" t="s">
        <v>142</v>
      </c>
      <c r="H119" s="4" t="s">
        <v>143</v>
      </c>
      <c r="I119" s="4" t="s">
        <v>126</v>
      </c>
      <c r="J119" s="4" t="str">
        <f>"7035SB0001113"</f>
        <v>7035SB0001113</v>
      </c>
      <c r="K119" s="4" t="s">
        <v>244</v>
      </c>
      <c r="L119" s="4" t="str">
        <f>""</f>
        <v/>
      </c>
      <c r="M119" s="4" t="str">
        <f>""</f>
        <v/>
      </c>
      <c r="N119" s="4" t="s">
        <v>34</v>
      </c>
      <c r="O119" s="3"/>
      <c r="P119" s="3"/>
      <c r="Q119" s="3"/>
      <c r="R119" s="4" t="s">
        <v>35</v>
      </c>
      <c r="S119" s="3"/>
      <c r="T119" s="4" t="str">
        <f>"CISCO 2811-NME1"</f>
        <v>CISCO 2811-NME1</v>
      </c>
      <c r="U119" s="4" t="str">
        <f>"03-117014"</f>
        <v>03-117014</v>
      </c>
      <c r="V119" s="4" t="str">
        <f>"FOC12246B94"</f>
        <v>FOC12246B94</v>
      </c>
      <c r="W119" s="4" t="s">
        <v>36</v>
      </c>
      <c r="X119" s="4" t="str">
        <f>"0GX96"</f>
        <v>0GX96</v>
      </c>
      <c r="Y119" s="4" t="str">
        <f>"CISCO2811-NME16ES1GP"</f>
        <v>CISCO2811-NME16ES1GP</v>
      </c>
      <c r="Z119" s="4" t="str">
        <f>""</f>
        <v/>
      </c>
      <c r="AA119" s="4" t="str">
        <f>""</f>
        <v/>
      </c>
      <c r="AB119" s="5">
        <v>43465</v>
      </c>
      <c r="AC119" s="4">
        <v>0</v>
      </c>
    </row>
    <row r="120" spans="1:29" ht="14.45" customHeight="1" x14ac:dyDescent="0.25">
      <c r="A120" s="4" t="s">
        <v>25</v>
      </c>
      <c r="B120" s="4" t="s">
        <v>139</v>
      </c>
      <c r="C120" s="4" t="s">
        <v>140</v>
      </c>
      <c r="D120" s="4" t="s">
        <v>28</v>
      </c>
      <c r="E120" s="4" t="s">
        <v>141</v>
      </c>
      <c r="F120" s="4" t="s">
        <v>142</v>
      </c>
      <c r="G120" s="4" t="s">
        <v>142</v>
      </c>
      <c r="H120" s="4" t="s">
        <v>143</v>
      </c>
      <c r="I120" s="4" t="s">
        <v>245</v>
      </c>
      <c r="J120" s="4" t="str">
        <f>"7035SB0018239"</f>
        <v>7035SB0018239</v>
      </c>
      <c r="K120" s="4" t="s">
        <v>246</v>
      </c>
      <c r="L120" s="4" t="str">
        <f>""</f>
        <v/>
      </c>
      <c r="M120" s="4" t="str">
        <f>""</f>
        <v/>
      </c>
      <c r="N120" s="4" t="s">
        <v>34</v>
      </c>
      <c r="O120" s="3"/>
      <c r="P120" s="3"/>
      <c r="Q120" s="3"/>
      <c r="R120" s="4" t="s">
        <v>35</v>
      </c>
      <c r="S120" s="3"/>
      <c r="T120" s="4" t="str">
        <f>"7025015853891"</f>
        <v>7025015853891</v>
      </c>
      <c r="U120" s="4" t="str">
        <f>"03-124021"</f>
        <v>03-124021</v>
      </c>
      <c r="V120" s="4" t="str">
        <f>"J4BGFH1"</f>
        <v>J4BGFH1</v>
      </c>
      <c r="W120" s="4" t="s">
        <v>36</v>
      </c>
      <c r="X120" s="4" t="str">
        <f>"1GE11"</f>
        <v>1GE11</v>
      </c>
      <c r="Y120" s="4" t="str">
        <f>"0P486K"</f>
        <v>0P486K</v>
      </c>
      <c r="Z120" s="4" t="str">
        <f>""</f>
        <v/>
      </c>
      <c r="AA120" s="4" t="str">
        <f>""</f>
        <v/>
      </c>
      <c r="AB120" s="5">
        <v>43465</v>
      </c>
      <c r="AC120" s="4">
        <v>0</v>
      </c>
    </row>
    <row r="121" spans="1:29" ht="14.45" customHeight="1" x14ac:dyDescent="0.25">
      <c r="A121" s="4" t="s">
        <v>25</v>
      </c>
      <c r="B121" s="4" t="s">
        <v>139</v>
      </c>
      <c r="C121" s="4" t="s">
        <v>140</v>
      </c>
      <c r="D121" s="4" t="s">
        <v>28</v>
      </c>
      <c r="E121" s="4" t="s">
        <v>141</v>
      </c>
      <c r="F121" s="4" t="s">
        <v>142</v>
      </c>
      <c r="G121" s="4" t="s">
        <v>142</v>
      </c>
      <c r="H121" s="4" t="s">
        <v>143</v>
      </c>
      <c r="I121" s="4" t="s">
        <v>158</v>
      </c>
      <c r="J121" s="4" t="str">
        <f>"8145SB0006729"</f>
        <v>8145SB0006729</v>
      </c>
      <c r="K121" s="4" t="s">
        <v>247</v>
      </c>
      <c r="L121" s="4" t="str">
        <f>""</f>
        <v/>
      </c>
      <c r="M121" s="4" t="str">
        <f>""</f>
        <v/>
      </c>
      <c r="N121" s="4" t="s">
        <v>34</v>
      </c>
      <c r="O121" s="3"/>
      <c r="P121" s="3"/>
      <c r="Q121" s="3"/>
      <c r="R121" s="4" t="s">
        <v>35</v>
      </c>
      <c r="S121" s="3"/>
      <c r="T121" s="4" t="str">
        <f>"SUITCASE TYPE55"</f>
        <v>SUITCASE TYPE55</v>
      </c>
      <c r="U121" s="4" t="str">
        <f>"NCIAX11189865"</f>
        <v>NCIAX11189865</v>
      </c>
      <c r="V121" s="4" t="str">
        <f>""</f>
        <v/>
      </c>
      <c r="W121" s="4" t="s">
        <v>36</v>
      </c>
      <c r="X121" s="4" t="str">
        <f>"0177B"</f>
        <v>0177B</v>
      </c>
      <c r="Y121" s="4" t="str">
        <f>"SUITCASE TYPE55"</f>
        <v>SUITCASE TYPE55</v>
      </c>
      <c r="Z121" s="4" t="str">
        <f>""</f>
        <v/>
      </c>
      <c r="AA121" s="4" t="str">
        <f>""</f>
        <v/>
      </c>
      <c r="AB121" s="5">
        <v>43465</v>
      </c>
      <c r="AC121" s="4">
        <v>0</v>
      </c>
    </row>
    <row r="122" spans="1:29" ht="14.45" customHeight="1" x14ac:dyDescent="0.25">
      <c r="A122" s="4" t="s">
        <v>25</v>
      </c>
      <c r="B122" s="4" t="s">
        <v>139</v>
      </c>
      <c r="C122" s="4" t="s">
        <v>140</v>
      </c>
      <c r="D122" s="4" t="s">
        <v>28</v>
      </c>
      <c r="E122" s="4" t="s">
        <v>141</v>
      </c>
      <c r="F122" s="4" t="s">
        <v>142</v>
      </c>
      <c r="G122" s="4" t="s">
        <v>142</v>
      </c>
      <c r="H122" s="4" t="s">
        <v>143</v>
      </c>
      <c r="I122" s="4" t="s">
        <v>158</v>
      </c>
      <c r="J122" s="4" t="str">
        <f>"8145SB0007211"</f>
        <v>8145SB0007211</v>
      </c>
      <c r="K122" s="4" t="s">
        <v>248</v>
      </c>
      <c r="L122" s="4" t="str">
        <f>""</f>
        <v/>
      </c>
      <c r="M122" s="4" t="str">
        <f>""</f>
        <v/>
      </c>
      <c r="N122" s="4" t="s">
        <v>34</v>
      </c>
      <c r="O122" s="3"/>
      <c r="P122" s="3"/>
      <c r="Q122" s="3"/>
      <c r="R122" s="4" t="s">
        <v>35</v>
      </c>
      <c r="S122" s="3"/>
      <c r="T122" s="4" t="str">
        <f>"SUITCASE TYPE65"</f>
        <v>SUITCASE TYPE65</v>
      </c>
      <c r="U122" s="4" t="str">
        <f>"NCIAX11189885"</f>
        <v>NCIAX11189885</v>
      </c>
      <c r="V122" s="4" t="str">
        <f>""</f>
        <v/>
      </c>
      <c r="W122" s="4" t="s">
        <v>36</v>
      </c>
      <c r="X122" s="4" t="str">
        <f>"0177B"</f>
        <v>0177B</v>
      </c>
      <c r="Y122" s="4" t="str">
        <f>"SUITCASE TYPE65 B&amp;W"</f>
        <v>SUITCASE TYPE65 B&amp;W</v>
      </c>
      <c r="Z122" s="4" t="str">
        <f>""</f>
        <v/>
      </c>
      <c r="AA122" s="4" t="str">
        <f>""</f>
        <v/>
      </c>
      <c r="AB122" s="5">
        <v>43465</v>
      </c>
      <c r="AC122" s="4">
        <v>0</v>
      </c>
    </row>
    <row r="123" spans="1:29" ht="12" customHeight="1" x14ac:dyDescent="0.25">
      <c r="A123" s="262"/>
      <c r="B123" s="264" t="s">
        <v>135</v>
      </c>
      <c r="C123" s="7" t="s">
        <v>136</v>
      </c>
      <c r="D123" s="8">
        <v>44287</v>
      </c>
    </row>
    <row r="124" spans="1:29" ht="12" customHeight="1" x14ac:dyDescent="0.25">
      <c r="A124" s="263"/>
      <c r="B124" s="265"/>
      <c r="C124" s="7" t="s">
        <v>137</v>
      </c>
      <c r="D124" s="9" t="s">
        <v>138</v>
      </c>
    </row>
  </sheetData>
  <mergeCells count="2">
    <mergeCell ref="A123:A124"/>
    <mergeCell ref="B123:B12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68"/>
  <sheetViews>
    <sheetView workbookViewId="0">
      <selection activeCell="C15" sqref="C15"/>
    </sheetView>
  </sheetViews>
  <sheetFormatPr defaultRowHeight="15" x14ac:dyDescent="0.25"/>
  <cols>
    <col min="1" max="1" width="23.28515625" bestFit="1" customWidth="1"/>
    <col min="2" max="2" width="36.5703125" bestFit="1" customWidth="1"/>
    <col min="3" max="3" width="19" bestFit="1" customWidth="1"/>
    <col min="4" max="4" width="9.7109375" bestFit="1" customWidth="1"/>
    <col min="5" max="5" width="11.7109375" bestFit="1" customWidth="1"/>
    <col min="6" max="6" width="16" bestFit="1" customWidth="1"/>
    <col min="7" max="7" width="15.85546875" bestFit="1" customWidth="1"/>
    <col min="8" max="8" width="15.28515625" bestFit="1" customWidth="1"/>
    <col min="9" max="9" width="35.28515625" bestFit="1" customWidth="1"/>
    <col min="10" max="10" width="4.5703125" customWidth="1"/>
    <col min="11" max="11" width="36.5703125" bestFit="1" customWidth="1"/>
    <col min="12" max="12" width="7.5703125" customWidth="1"/>
    <col min="13" max="13" width="13.42578125" bestFit="1" customWidth="1"/>
    <col min="14" max="14" width="4.5703125" customWidth="1"/>
    <col min="18" max="18" width="14.85546875" bestFit="1" customWidth="1"/>
    <col min="20" max="20" width="11.140625" bestFit="1" customWidth="1"/>
    <col min="21" max="21" width="12.140625" bestFit="1" customWidth="1"/>
    <col min="22" max="22" width="18.7109375" bestFit="1" customWidth="1"/>
    <col min="23" max="23" width="17.85546875" bestFit="1" customWidth="1"/>
    <col min="24" max="24" width="12" bestFit="1" customWidth="1"/>
    <col min="25" max="25" width="12.42578125" bestFit="1" customWidth="1"/>
    <col min="26" max="26" width="14" bestFit="1" customWidth="1"/>
    <col min="27" max="27" width="18.28515625" bestFit="1" customWidth="1"/>
    <col min="28" max="28" width="13.85546875" bestFit="1" customWidth="1"/>
    <col min="29" max="29" width="18" bestFit="1" customWidth="1"/>
  </cols>
  <sheetData>
    <row r="1" spans="1:29" ht="12.2" customHeight="1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1"/>
      <c r="P1" s="1"/>
      <c r="Q1" s="1"/>
      <c r="R1" s="2" t="s">
        <v>14</v>
      </c>
      <c r="S1" s="1"/>
      <c r="T1" s="2" t="s">
        <v>15</v>
      </c>
      <c r="U1" s="2" t="s">
        <v>16</v>
      </c>
      <c r="V1" s="2" t="s">
        <v>17</v>
      </c>
      <c r="W1" s="2" t="s">
        <v>18</v>
      </c>
      <c r="X1" s="2" t="s">
        <v>19</v>
      </c>
      <c r="Y1" s="2" t="s">
        <v>20</v>
      </c>
      <c r="Z1" s="2" t="s">
        <v>21</v>
      </c>
      <c r="AA1" s="2" t="s">
        <v>22</v>
      </c>
      <c r="AB1" s="2" t="s">
        <v>23</v>
      </c>
      <c r="AC1" s="2" t="s">
        <v>24</v>
      </c>
    </row>
    <row r="2" spans="1:29" ht="14.45" customHeight="1" x14ac:dyDescent="0.25">
      <c r="A2" s="4" t="s">
        <v>25</v>
      </c>
      <c r="B2" s="4" t="s">
        <v>139</v>
      </c>
      <c r="C2" s="4" t="s">
        <v>140</v>
      </c>
      <c r="D2" s="4" t="s">
        <v>28</v>
      </c>
      <c r="E2" s="4" t="s">
        <v>249</v>
      </c>
      <c r="F2" s="4" t="s">
        <v>250</v>
      </c>
      <c r="G2" s="4" t="s">
        <v>250</v>
      </c>
      <c r="H2" s="4" t="s">
        <v>251</v>
      </c>
      <c r="I2" s="4" t="s">
        <v>37</v>
      </c>
      <c r="J2" s="4" t="str">
        <f>"7010SB0041060"</f>
        <v>7010SB0041060</v>
      </c>
      <c r="K2" s="4" t="s">
        <v>252</v>
      </c>
      <c r="L2" s="4" t="str">
        <f>""</f>
        <v/>
      </c>
      <c r="M2" s="4" t="str">
        <f>""</f>
        <v/>
      </c>
      <c r="N2" s="4" t="s">
        <v>34</v>
      </c>
      <c r="O2" s="3"/>
      <c r="P2" s="3"/>
      <c r="Q2" s="3"/>
      <c r="R2" s="4" t="s">
        <v>35</v>
      </c>
      <c r="S2" s="3"/>
      <c r="T2" s="4" t="str">
        <f>""</f>
        <v/>
      </c>
      <c r="U2" s="4" t="str">
        <f>"NCIA10303823"</f>
        <v>NCIA10303823</v>
      </c>
      <c r="V2" s="4" t="str">
        <f t="shared" ref="V2:V7" si="0">"DCIS-1"</f>
        <v>DCIS-1</v>
      </c>
      <c r="W2" s="4" t="s">
        <v>36</v>
      </c>
      <c r="X2" s="4" t="str">
        <f t="shared" ref="X2:X10" si="1">"02MQ7"</f>
        <v>02MQ7</v>
      </c>
      <c r="Y2" s="4" t="str">
        <f>"CO-11790-TSGT TSGT3 COMPLETE"</f>
        <v>CO-11790-TSGT TSGT3 COMPLETE</v>
      </c>
      <c r="Z2" s="4" t="str">
        <f>""</f>
        <v/>
      </c>
      <c r="AA2" s="4" t="str">
        <f>""</f>
        <v/>
      </c>
      <c r="AB2" s="5">
        <v>43465</v>
      </c>
      <c r="AC2" s="4">
        <v>0</v>
      </c>
    </row>
    <row r="3" spans="1:29" ht="14.45" customHeight="1" x14ac:dyDescent="0.25">
      <c r="A3" s="4" t="s">
        <v>25</v>
      </c>
      <c r="B3" s="4" t="s">
        <v>139</v>
      </c>
      <c r="C3" s="4" t="s">
        <v>140</v>
      </c>
      <c r="D3" s="4" t="s">
        <v>28</v>
      </c>
      <c r="E3" s="4" t="s">
        <v>249</v>
      </c>
      <c r="F3" s="4" t="s">
        <v>250</v>
      </c>
      <c r="G3" s="4" t="s">
        <v>250</v>
      </c>
      <c r="H3" s="4" t="s">
        <v>251</v>
      </c>
      <c r="I3" s="4" t="s">
        <v>37</v>
      </c>
      <c r="J3" s="4" t="str">
        <f>"7010SB0041021"</f>
        <v>7010SB0041021</v>
      </c>
      <c r="K3" s="4" t="s">
        <v>253</v>
      </c>
      <c r="L3" s="4" t="str">
        <f>""</f>
        <v/>
      </c>
      <c r="M3" s="4" t="str">
        <f>""</f>
        <v/>
      </c>
      <c r="N3" s="4" t="s">
        <v>34</v>
      </c>
      <c r="O3" s="3"/>
      <c r="P3" s="3"/>
      <c r="Q3" s="3"/>
      <c r="R3" s="4" t="s">
        <v>35</v>
      </c>
      <c r="S3" s="3"/>
      <c r="T3" s="4" t="str">
        <f>""</f>
        <v/>
      </c>
      <c r="U3" s="4" t="str">
        <f>"NCIA10303817"</f>
        <v>NCIA10303817</v>
      </c>
      <c r="V3" s="4" t="str">
        <f t="shared" si="0"/>
        <v>DCIS-1</v>
      </c>
      <c r="W3" s="4" t="s">
        <v>146</v>
      </c>
      <c r="X3" s="4" t="str">
        <f t="shared" si="1"/>
        <v>02MQ7</v>
      </c>
      <c r="Y3" s="4" t="str">
        <f>"CO-11790-TSGT T1"</f>
        <v>CO-11790-TSGT T1</v>
      </c>
      <c r="Z3" s="4" t="str">
        <f>""</f>
        <v/>
      </c>
      <c r="AA3" s="4" t="str">
        <f>"NCIA10303823"</f>
        <v>NCIA10303823</v>
      </c>
      <c r="AB3" s="5">
        <v>43465</v>
      </c>
      <c r="AC3" s="4">
        <v>0</v>
      </c>
    </row>
    <row r="4" spans="1:29" ht="14.45" customHeight="1" x14ac:dyDescent="0.25">
      <c r="A4" s="4" t="s">
        <v>25</v>
      </c>
      <c r="B4" s="4" t="s">
        <v>139</v>
      </c>
      <c r="C4" s="4" t="s">
        <v>140</v>
      </c>
      <c r="D4" s="4" t="s">
        <v>28</v>
      </c>
      <c r="E4" s="4" t="s">
        <v>249</v>
      </c>
      <c r="F4" s="4" t="s">
        <v>250</v>
      </c>
      <c r="G4" s="4" t="s">
        <v>250</v>
      </c>
      <c r="H4" s="4" t="s">
        <v>251</v>
      </c>
      <c r="I4" s="4" t="s">
        <v>37</v>
      </c>
      <c r="J4" s="4" t="str">
        <f>"7010SB0041022"</f>
        <v>7010SB0041022</v>
      </c>
      <c r="K4" s="4" t="s">
        <v>254</v>
      </c>
      <c r="L4" s="4" t="str">
        <f>""</f>
        <v/>
      </c>
      <c r="M4" s="4" t="str">
        <f>""</f>
        <v/>
      </c>
      <c r="N4" s="4" t="s">
        <v>34</v>
      </c>
      <c r="O4" s="3"/>
      <c r="P4" s="3"/>
      <c r="Q4" s="3"/>
      <c r="R4" s="4" t="s">
        <v>35</v>
      </c>
      <c r="S4" s="3"/>
      <c r="T4" s="4" t="str">
        <f>""</f>
        <v/>
      </c>
      <c r="U4" s="4" t="str">
        <f>"NCIA10303803"</f>
        <v>NCIA10303803</v>
      </c>
      <c r="V4" s="4" t="str">
        <f t="shared" si="0"/>
        <v>DCIS-1</v>
      </c>
      <c r="W4" s="4" t="s">
        <v>146</v>
      </c>
      <c r="X4" s="4" t="str">
        <f t="shared" si="1"/>
        <v>02MQ7</v>
      </c>
      <c r="Y4" s="4" t="str">
        <f>"CO-11790-TSGT T2"</f>
        <v>CO-11790-TSGT T2</v>
      </c>
      <c r="Z4" s="4" t="str">
        <f>""</f>
        <v/>
      </c>
      <c r="AA4" s="4" t="str">
        <f>"NCIA10303823"</f>
        <v>NCIA10303823</v>
      </c>
      <c r="AB4" s="5">
        <v>43465</v>
      </c>
      <c r="AC4" s="4">
        <v>0</v>
      </c>
    </row>
    <row r="5" spans="1:29" ht="14.45" customHeight="1" x14ac:dyDescent="0.25">
      <c r="A5" s="4" t="s">
        <v>25</v>
      </c>
      <c r="B5" s="4" t="s">
        <v>139</v>
      </c>
      <c r="C5" s="4" t="s">
        <v>140</v>
      </c>
      <c r="D5" s="4" t="s">
        <v>28</v>
      </c>
      <c r="E5" s="4" t="s">
        <v>249</v>
      </c>
      <c r="F5" s="4" t="s">
        <v>250</v>
      </c>
      <c r="G5" s="4" t="s">
        <v>250</v>
      </c>
      <c r="H5" s="4" t="s">
        <v>251</v>
      </c>
      <c r="I5" s="4" t="s">
        <v>37</v>
      </c>
      <c r="J5" s="4" t="str">
        <f>"7010SB0041023"</f>
        <v>7010SB0041023</v>
      </c>
      <c r="K5" s="4" t="s">
        <v>255</v>
      </c>
      <c r="L5" s="4" t="str">
        <f>""</f>
        <v/>
      </c>
      <c r="M5" s="4" t="str">
        <f>""</f>
        <v/>
      </c>
      <c r="N5" s="4" t="s">
        <v>34</v>
      </c>
      <c r="O5" s="3"/>
      <c r="P5" s="3"/>
      <c r="Q5" s="3"/>
      <c r="R5" s="4" t="s">
        <v>35</v>
      </c>
      <c r="S5" s="3"/>
      <c r="T5" s="4" t="str">
        <f>""</f>
        <v/>
      </c>
      <c r="U5" s="4" t="str">
        <f>"NCIA10303824"</f>
        <v>NCIA10303824</v>
      </c>
      <c r="V5" s="4" t="str">
        <f t="shared" si="0"/>
        <v>DCIS-1</v>
      </c>
      <c r="W5" s="4" t="s">
        <v>146</v>
      </c>
      <c r="X5" s="4" t="str">
        <f t="shared" si="1"/>
        <v>02MQ7</v>
      </c>
      <c r="Y5" s="4" t="str">
        <f>"CO-11790-TSGT PMV"</f>
        <v>CO-11790-TSGT PMV</v>
      </c>
      <c r="Z5" s="4" t="str">
        <f>""</f>
        <v/>
      </c>
      <c r="AA5" s="4" t="str">
        <f>"NCIA10303823"</f>
        <v>NCIA10303823</v>
      </c>
      <c r="AB5" s="5">
        <v>43465</v>
      </c>
      <c r="AC5" s="4">
        <v>0</v>
      </c>
    </row>
    <row r="6" spans="1:29" ht="14.45" customHeight="1" x14ac:dyDescent="0.25">
      <c r="A6" s="4" t="s">
        <v>25</v>
      </c>
      <c r="B6" s="4" t="s">
        <v>139</v>
      </c>
      <c r="C6" s="4" t="s">
        <v>140</v>
      </c>
      <c r="D6" s="4" t="s">
        <v>28</v>
      </c>
      <c r="E6" s="4" t="s">
        <v>249</v>
      </c>
      <c r="F6" s="4" t="s">
        <v>250</v>
      </c>
      <c r="G6" s="4" t="s">
        <v>250</v>
      </c>
      <c r="H6" s="4" t="s">
        <v>251</v>
      </c>
      <c r="I6" s="4" t="s">
        <v>37</v>
      </c>
      <c r="J6" s="4" t="str">
        <f>"7010SB0041024"</f>
        <v>7010SB0041024</v>
      </c>
      <c r="K6" s="4" t="s">
        <v>256</v>
      </c>
      <c r="L6" s="4" t="str">
        <f>""</f>
        <v/>
      </c>
      <c r="M6" s="4" t="str">
        <f>""</f>
        <v/>
      </c>
      <c r="N6" s="4" t="s">
        <v>34</v>
      </c>
      <c r="O6" s="3"/>
      <c r="P6" s="3"/>
      <c r="Q6" s="3"/>
      <c r="R6" s="4" t="s">
        <v>35</v>
      </c>
      <c r="S6" s="3"/>
      <c r="T6" s="4" t="str">
        <f>""</f>
        <v/>
      </c>
      <c r="U6" s="4" t="str">
        <f>"NCIA10303826"</f>
        <v>NCIA10303826</v>
      </c>
      <c r="V6" s="4" t="str">
        <f t="shared" si="0"/>
        <v>DCIS-1</v>
      </c>
      <c r="W6" s="4" t="s">
        <v>146</v>
      </c>
      <c r="X6" s="4" t="str">
        <f t="shared" si="1"/>
        <v>02MQ7</v>
      </c>
      <c r="Y6" s="4" t="str">
        <f>"CO-11790-TSGT AMV"</f>
        <v>CO-11790-TSGT AMV</v>
      </c>
      <c r="Z6" s="4" t="str">
        <f>""</f>
        <v/>
      </c>
      <c r="AA6" s="4" t="str">
        <f>"NCIA10303823"</f>
        <v>NCIA10303823</v>
      </c>
      <c r="AB6" s="5">
        <v>43465</v>
      </c>
      <c r="AC6" s="4">
        <v>0</v>
      </c>
    </row>
    <row r="7" spans="1:29" ht="14.45" customHeight="1" x14ac:dyDescent="0.25">
      <c r="A7" s="4" t="s">
        <v>25</v>
      </c>
      <c r="B7" s="4" t="s">
        <v>139</v>
      </c>
      <c r="C7" s="4" t="s">
        <v>140</v>
      </c>
      <c r="D7" s="4" t="s">
        <v>28</v>
      </c>
      <c r="E7" s="4" t="s">
        <v>249</v>
      </c>
      <c r="F7" s="4" t="s">
        <v>250</v>
      </c>
      <c r="G7" s="4" t="s">
        <v>250</v>
      </c>
      <c r="H7" s="4" t="s">
        <v>251</v>
      </c>
      <c r="I7" s="4" t="s">
        <v>37</v>
      </c>
      <c r="J7" s="4" t="str">
        <f>"7010SB0041025"</f>
        <v>7010SB0041025</v>
      </c>
      <c r="K7" s="4" t="s">
        <v>257</v>
      </c>
      <c r="L7" s="4" t="str">
        <f>""</f>
        <v/>
      </c>
      <c r="M7" s="4" t="str">
        <f>""</f>
        <v/>
      </c>
      <c r="N7" s="4" t="s">
        <v>34</v>
      </c>
      <c r="O7" s="3"/>
      <c r="P7" s="3"/>
      <c r="Q7" s="3"/>
      <c r="R7" s="4" t="s">
        <v>35</v>
      </c>
      <c r="S7" s="3"/>
      <c r="T7" s="4" t="str">
        <f>""</f>
        <v/>
      </c>
      <c r="U7" s="4" t="str">
        <f>"NCIA10303825"</f>
        <v>NCIA10303825</v>
      </c>
      <c r="V7" s="4" t="str">
        <f t="shared" si="0"/>
        <v>DCIS-1</v>
      </c>
      <c r="W7" s="4" t="s">
        <v>146</v>
      </c>
      <c r="X7" s="4" t="str">
        <f t="shared" si="1"/>
        <v>02MQ7</v>
      </c>
      <c r="Y7" s="4" t="str">
        <f>"CO-11790-TSGT PGS"</f>
        <v>CO-11790-TSGT PGS</v>
      </c>
      <c r="Z7" s="4" t="str">
        <f>""</f>
        <v/>
      </c>
      <c r="AA7" s="4" t="str">
        <f>"NCIA10303823"</f>
        <v>NCIA10303823</v>
      </c>
      <c r="AB7" s="5">
        <v>43465</v>
      </c>
      <c r="AC7" s="4">
        <v>0</v>
      </c>
    </row>
    <row r="8" spans="1:29" ht="14.45" customHeight="1" x14ac:dyDescent="0.25">
      <c r="A8" s="4" t="s">
        <v>25</v>
      </c>
      <c r="B8" s="4" t="s">
        <v>139</v>
      </c>
      <c r="C8" s="4" t="s">
        <v>140</v>
      </c>
      <c r="D8" s="4" t="s">
        <v>28</v>
      </c>
      <c r="E8" s="4" t="s">
        <v>249</v>
      </c>
      <c r="F8" s="4" t="s">
        <v>250</v>
      </c>
      <c r="G8" s="4" t="s">
        <v>250</v>
      </c>
      <c r="H8" s="4" t="s">
        <v>251</v>
      </c>
      <c r="I8" s="4" t="s">
        <v>32</v>
      </c>
      <c r="J8" s="4" t="str">
        <f>"4120SB0002549"</f>
        <v>4120SB0002549</v>
      </c>
      <c r="K8" s="4" t="s">
        <v>258</v>
      </c>
      <c r="L8" s="4" t="str">
        <f>""</f>
        <v/>
      </c>
      <c r="M8" s="4" t="str">
        <f>""</f>
        <v/>
      </c>
      <c r="N8" s="4" t="s">
        <v>34</v>
      </c>
      <c r="O8" s="3"/>
      <c r="P8" s="3"/>
      <c r="Q8" s="3"/>
      <c r="R8" s="4" t="s">
        <v>35</v>
      </c>
      <c r="S8" s="3"/>
      <c r="T8" s="4" t="str">
        <f>"14470-346C-001"</f>
        <v>14470-346C-001</v>
      </c>
      <c r="U8" s="4" t="str">
        <f>"01-113970"</f>
        <v>01-113970</v>
      </c>
      <c r="V8" s="4" t="str">
        <f>"625"</f>
        <v>625</v>
      </c>
      <c r="W8" s="4" t="s">
        <v>36</v>
      </c>
      <c r="X8" s="4" t="str">
        <f t="shared" si="1"/>
        <v>02MQ7</v>
      </c>
      <c r="Y8" s="4" t="str">
        <f>"14470-346C-001"</f>
        <v>14470-346C-001</v>
      </c>
      <c r="Z8" s="4" t="str">
        <f>""</f>
        <v/>
      </c>
      <c r="AA8" s="4" t="str">
        <f>""</f>
        <v/>
      </c>
      <c r="AB8" s="5">
        <v>43465</v>
      </c>
      <c r="AC8" s="4">
        <v>0</v>
      </c>
    </row>
    <row r="9" spans="1:29" ht="14.45" customHeight="1" x14ac:dyDescent="0.25">
      <c r="A9" s="4" t="s">
        <v>25</v>
      </c>
      <c r="B9" s="4" t="s">
        <v>139</v>
      </c>
      <c r="C9" s="4" t="s">
        <v>140</v>
      </c>
      <c r="D9" s="4" t="s">
        <v>28</v>
      </c>
      <c r="E9" s="4" t="s">
        <v>249</v>
      </c>
      <c r="F9" s="4" t="s">
        <v>250</v>
      </c>
      <c r="G9" s="4" t="s">
        <v>250</v>
      </c>
      <c r="H9" s="4" t="s">
        <v>251</v>
      </c>
      <c r="I9" s="4" t="s">
        <v>32</v>
      </c>
      <c r="J9" s="4" t="str">
        <f>"4120SB0002549"</f>
        <v>4120SB0002549</v>
      </c>
      <c r="K9" s="4" t="s">
        <v>258</v>
      </c>
      <c r="L9" s="4" t="str">
        <f>""</f>
        <v/>
      </c>
      <c r="M9" s="4" t="str">
        <f>""</f>
        <v/>
      </c>
      <c r="N9" s="4" t="s">
        <v>34</v>
      </c>
      <c r="O9" s="3"/>
      <c r="P9" s="3"/>
      <c r="Q9" s="3"/>
      <c r="R9" s="4" t="s">
        <v>35</v>
      </c>
      <c r="S9" s="3"/>
      <c r="T9" s="4" t="str">
        <f>"14470-346C-001"</f>
        <v>14470-346C-001</v>
      </c>
      <c r="U9" s="4" t="str">
        <f>"01-113972"</f>
        <v>01-113972</v>
      </c>
      <c r="V9" s="4" t="str">
        <f>"557"</f>
        <v>557</v>
      </c>
      <c r="W9" s="4" t="s">
        <v>36</v>
      </c>
      <c r="X9" s="4" t="str">
        <f t="shared" si="1"/>
        <v>02MQ7</v>
      </c>
      <c r="Y9" s="4" t="str">
        <f>"14470-346C-001"</f>
        <v>14470-346C-001</v>
      </c>
      <c r="Z9" s="4" t="str">
        <f>""</f>
        <v/>
      </c>
      <c r="AA9" s="4" t="str">
        <f>""</f>
        <v/>
      </c>
      <c r="AB9" s="5">
        <v>43465</v>
      </c>
      <c r="AC9" s="4">
        <v>0</v>
      </c>
    </row>
    <row r="10" spans="1:29" ht="14.45" customHeight="1" x14ac:dyDescent="0.25">
      <c r="A10" s="4" t="s">
        <v>25</v>
      </c>
      <c r="B10" s="4" t="s">
        <v>139</v>
      </c>
      <c r="C10" s="4" t="s">
        <v>140</v>
      </c>
      <c r="D10" s="4" t="s">
        <v>28</v>
      </c>
      <c r="E10" s="4" t="s">
        <v>249</v>
      </c>
      <c r="F10" s="4" t="s">
        <v>250</v>
      </c>
      <c r="G10" s="4" t="s">
        <v>250</v>
      </c>
      <c r="H10" s="4" t="s">
        <v>251</v>
      </c>
      <c r="I10" s="4" t="s">
        <v>32</v>
      </c>
      <c r="J10" s="4" t="str">
        <f>"4120SB0002549"</f>
        <v>4120SB0002549</v>
      </c>
      <c r="K10" s="4" t="s">
        <v>258</v>
      </c>
      <c r="L10" s="4" t="str">
        <f>""</f>
        <v/>
      </c>
      <c r="M10" s="4" t="str">
        <f>""</f>
        <v/>
      </c>
      <c r="N10" s="4" t="s">
        <v>34</v>
      </c>
      <c r="O10" s="3"/>
      <c r="P10" s="3"/>
      <c r="Q10" s="3"/>
      <c r="R10" s="4" t="s">
        <v>35</v>
      </c>
      <c r="S10" s="3"/>
      <c r="T10" s="4" t="str">
        <f>"14470-346C-001"</f>
        <v>14470-346C-001</v>
      </c>
      <c r="U10" s="4" t="str">
        <f>"01-117172"</f>
        <v>01-117172</v>
      </c>
      <c r="V10" s="4" t="str">
        <f>"569"</f>
        <v>569</v>
      </c>
      <c r="W10" s="4" t="s">
        <v>36</v>
      </c>
      <c r="X10" s="4" t="str">
        <f t="shared" si="1"/>
        <v>02MQ7</v>
      </c>
      <c r="Y10" s="4" t="str">
        <f>"14470-346C-001"</f>
        <v>14470-346C-001</v>
      </c>
      <c r="Z10" s="4" t="str">
        <f>""</f>
        <v/>
      </c>
      <c r="AA10" s="4" t="str">
        <f>""</f>
        <v/>
      </c>
      <c r="AB10" s="5">
        <v>43465</v>
      </c>
      <c r="AC10" s="4">
        <v>0</v>
      </c>
    </row>
    <row r="11" spans="1:29" ht="14.45" customHeight="1" x14ac:dyDescent="0.25">
      <c r="A11" s="4" t="s">
        <v>25</v>
      </c>
      <c r="B11" s="4" t="s">
        <v>139</v>
      </c>
      <c r="C11" s="4" t="s">
        <v>140</v>
      </c>
      <c r="D11" s="4" t="s">
        <v>28</v>
      </c>
      <c r="E11" s="4" t="s">
        <v>249</v>
      </c>
      <c r="F11" s="4" t="s">
        <v>250</v>
      </c>
      <c r="G11" s="4" t="s">
        <v>250</v>
      </c>
      <c r="H11" s="4" t="s">
        <v>251</v>
      </c>
      <c r="I11" s="4" t="s">
        <v>32</v>
      </c>
      <c r="J11" s="4" t="str">
        <f>"4130SB0002679"</f>
        <v>4130SB0002679</v>
      </c>
      <c r="K11" s="4" t="s">
        <v>259</v>
      </c>
      <c r="L11" s="4" t="str">
        <f>""</f>
        <v/>
      </c>
      <c r="M11" s="4" t="str">
        <f>""</f>
        <v/>
      </c>
      <c r="N11" s="4" t="s">
        <v>34</v>
      </c>
      <c r="O11" s="3"/>
      <c r="P11" s="3"/>
      <c r="Q11" s="3"/>
      <c r="R11" s="4" t="s">
        <v>35</v>
      </c>
      <c r="S11" s="3"/>
      <c r="T11" s="4" t="str">
        <f>"14470-346E-001"</f>
        <v>14470-346E-001</v>
      </c>
      <c r="U11" s="4" t="str">
        <f>"01-113973"</f>
        <v>01-113973</v>
      </c>
      <c r="V11" s="4" t="str">
        <f>"01098974"</f>
        <v>01098974</v>
      </c>
      <c r="W11" s="4" t="s">
        <v>36</v>
      </c>
      <c r="X11" s="4" t="str">
        <f>"15175"</f>
        <v>15175</v>
      </c>
      <c r="Y11" s="4" t="str">
        <f>"14470-346E-001"</f>
        <v>14470-346E-001</v>
      </c>
      <c r="Z11" s="4" t="str">
        <f>""</f>
        <v/>
      </c>
      <c r="AA11" s="4" t="str">
        <f>""</f>
        <v/>
      </c>
      <c r="AB11" s="5">
        <v>43465</v>
      </c>
      <c r="AC11" s="6">
        <v>83673176375</v>
      </c>
    </row>
    <row r="12" spans="1:29" ht="14.45" customHeight="1" x14ac:dyDescent="0.25">
      <c r="A12" s="4" t="s">
        <v>25</v>
      </c>
      <c r="B12" s="4" t="s">
        <v>139</v>
      </c>
      <c r="C12" s="4" t="s">
        <v>140</v>
      </c>
      <c r="D12" s="4" t="s">
        <v>28</v>
      </c>
      <c r="E12" s="4" t="s">
        <v>249</v>
      </c>
      <c r="F12" s="4" t="s">
        <v>250</v>
      </c>
      <c r="G12" s="4" t="s">
        <v>250</v>
      </c>
      <c r="H12" s="4" t="s">
        <v>251</v>
      </c>
      <c r="I12" s="4" t="s">
        <v>32</v>
      </c>
      <c r="J12" s="4" t="str">
        <f>"4130SB0002679"</f>
        <v>4130SB0002679</v>
      </c>
      <c r="K12" s="4" t="s">
        <v>259</v>
      </c>
      <c r="L12" s="4" t="str">
        <f>""</f>
        <v/>
      </c>
      <c r="M12" s="4" t="str">
        <f>""</f>
        <v/>
      </c>
      <c r="N12" s="4" t="s">
        <v>34</v>
      </c>
      <c r="O12" s="3"/>
      <c r="P12" s="3"/>
      <c r="Q12" s="3"/>
      <c r="R12" s="4" t="s">
        <v>35</v>
      </c>
      <c r="S12" s="3"/>
      <c r="T12" s="4" t="str">
        <f>"14470-346E-001"</f>
        <v>14470-346E-001</v>
      </c>
      <c r="U12" s="4" t="str">
        <f>"01-113974"</f>
        <v>01-113974</v>
      </c>
      <c r="V12" s="4" t="str">
        <f>"00998361"</f>
        <v>00998361</v>
      </c>
      <c r="W12" s="4" t="s">
        <v>36</v>
      </c>
      <c r="X12" s="4" t="str">
        <f>"15175"</f>
        <v>15175</v>
      </c>
      <c r="Y12" s="4" t="str">
        <f>"14470-346E-001"</f>
        <v>14470-346E-001</v>
      </c>
      <c r="Z12" s="4" t="str">
        <f>""</f>
        <v/>
      </c>
      <c r="AA12" s="4" t="str">
        <f>""</f>
        <v/>
      </c>
      <c r="AB12" s="5">
        <v>43465</v>
      </c>
      <c r="AC12" s="6">
        <v>83673176375</v>
      </c>
    </row>
    <row r="13" spans="1:29" ht="14.45" customHeight="1" x14ac:dyDescent="0.25">
      <c r="A13" s="4" t="s">
        <v>25</v>
      </c>
      <c r="B13" s="4" t="s">
        <v>139</v>
      </c>
      <c r="C13" s="4" t="s">
        <v>140</v>
      </c>
      <c r="D13" s="4" t="s">
        <v>28</v>
      </c>
      <c r="E13" s="4" t="s">
        <v>249</v>
      </c>
      <c r="F13" s="4" t="s">
        <v>250</v>
      </c>
      <c r="G13" s="4" t="s">
        <v>250</v>
      </c>
      <c r="H13" s="4" t="s">
        <v>251</v>
      </c>
      <c r="I13" s="4" t="s">
        <v>32</v>
      </c>
      <c r="J13" s="4" t="str">
        <f>"4130SB0002679"</f>
        <v>4130SB0002679</v>
      </c>
      <c r="K13" s="4" t="s">
        <v>259</v>
      </c>
      <c r="L13" s="4" t="str">
        <f>""</f>
        <v/>
      </c>
      <c r="M13" s="4" t="str">
        <f>""</f>
        <v/>
      </c>
      <c r="N13" s="4" t="s">
        <v>34</v>
      </c>
      <c r="O13" s="3"/>
      <c r="P13" s="3"/>
      <c r="Q13" s="3"/>
      <c r="R13" s="4" t="s">
        <v>35</v>
      </c>
      <c r="S13" s="3"/>
      <c r="T13" s="4" t="str">
        <f>"14470-346E-001"</f>
        <v>14470-346E-001</v>
      </c>
      <c r="U13" s="4" t="str">
        <f>"01-113975"</f>
        <v>01-113975</v>
      </c>
      <c r="V13" s="4" t="str">
        <f>"00998367"</f>
        <v>00998367</v>
      </c>
      <c r="W13" s="4" t="s">
        <v>36</v>
      </c>
      <c r="X13" s="4" t="str">
        <f>"15175"</f>
        <v>15175</v>
      </c>
      <c r="Y13" s="4" t="str">
        <f>"14470-346E-001"</f>
        <v>14470-346E-001</v>
      </c>
      <c r="Z13" s="4" t="str">
        <f>""</f>
        <v/>
      </c>
      <c r="AA13" s="4" t="str">
        <f>""</f>
        <v/>
      </c>
      <c r="AB13" s="5">
        <v>43465</v>
      </c>
      <c r="AC13" s="6">
        <v>83673176375</v>
      </c>
    </row>
    <row r="14" spans="1:29" ht="14.45" customHeight="1" x14ac:dyDescent="0.25">
      <c r="A14" s="4" t="s">
        <v>25</v>
      </c>
      <c r="B14" s="4" t="s">
        <v>139</v>
      </c>
      <c r="C14" s="4" t="s">
        <v>140</v>
      </c>
      <c r="D14" s="4" t="s">
        <v>28</v>
      </c>
      <c r="E14" s="4" t="s">
        <v>249</v>
      </c>
      <c r="F14" s="4" t="s">
        <v>250</v>
      </c>
      <c r="G14" s="4" t="s">
        <v>250</v>
      </c>
      <c r="H14" s="4" t="s">
        <v>251</v>
      </c>
      <c r="I14" s="4" t="s">
        <v>32</v>
      </c>
      <c r="J14" s="4" t="str">
        <f>"4130SB0003101"</f>
        <v>4130SB0003101</v>
      </c>
      <c r="K14" s="4" t="s">
        <v>260</v>
      </c>
      <c r="L14" s="4" t="str">
        <f>""</f>
        <v/>
      </c>
      <c r="M14" s="4" t="str">
        <f>""</f>
        <v/>
      </c>
      <c r="N14" s="4" t="s">
        <v>34</v>
      </c>
      <c r="O14" s="3"/>
      <c r="P14" s="3"/>
      <c r="Q14" s="3"/>
      <c r="R14" s="4" t="s">
        <v>35</v>
      </c>
      <c r="S14" s="3"/>
      <c r="T14" s="4" t="str">
        <f>"14470-121-001"</f>
        <v>14470-121-001</v>
      </c>
      <c r="U14" s="4" t="str">
        <f>"NCIA10301755"</f>
        <v>NCIA10301755</v>
      </c>
      <c r="V14" s="4" t="str">
        <f>""</f>
        <v/>
      </c>
      <c r="W14" s="4" t="s">
        <v>36</v>
      </c>
      <c r="X14" s="4" t="str">
        <f t="shared" ref="X14:X21" si="2">"02MQ7"</f>
        <v>02MQ7</v>
      </c>
      <c r="Y14" s="4" t="str">
        <f>"14470-121-001"</f>
        <v>14470-121-001</v>
      </c>
      <c r="Z14" s="4" t="str">
        <f>""</f>
        <v/>
      </c>
      <c r="AA14" s="4" t="str">
        <f>""</f>
        <v/>
      </c>
      <c r="AB14" s="5">
        <v>43465</v>
      </c>
      <c r="AC14" s="4">
        <v>5375</v>
      </c>
    </row>
    <row r="15" spans="1:29" ht="14.45" customHeight="1" x14ac:dyDescent="0.25">
      <c r="A15" s="4" t="s">
        <v>25</v>
      </c>
      <c r="B15" s="4" t="s">
        <v>139</v>
      </c>
      <c r="C15" s="4" t="s">
        <v>140</v>
      </c>
      <c r="D15" s="4" t="s">
        <v>28</v>
      </c>
      <c r="E15" s="4" t="s">
        <v>249</v>
      </c>
      <c r="F15" s="4" t="s">
        <v>250</v>
      </c>
      <c r="G15" s="4" t="s">
        <v>250</v>
      </c>
      <c r="H15" s="4" t="s">
        <v>251</v>
      </c>
      <c r="I15" s="4" t="s">
        <v>32</v>
      </c>
      <c r="J15" s="4" t="str">
        <f>"4130SB0003101"</f>
        <v>4130SB0003101</v>
      </c>
      <c r="K15" s="4" t="s">
        <v>260</v>
      </c>
      <c r="L15" s="4" t="str">
        <f>""</f>
        <v/>
      </c>
      <c r="M15" s="4" t="str">
        <f>""</f>
        <v/>
      </c>
      <c r="N15" s="4" t="s">
        <v>34</v>
      </c>
      <c r="O15" s="3"/>
      <c r="P15" s="3"/>
      <c r="Q15" s="3"/>
      <c r="R15" s="4" t="s">
        <v>35</v>
      </c>
      <c r="S15" s="3"/>
      <c r="T15" s="4" t="str">
        <f>"14470-121-001"</f>
        <v>14470-121-001</v>
      </c>
      <c r="U15" s="4" t="str">
        <f>"NCIAX11191308"</f>
        <v>NCIAX11191308</v>
      </c>
      <c r="V15" s="4" t="str">
        <f>""</f>
        <v/>
      </c>
      <c r="W15" s="4" t="s">
        <v>36</v>
      </c>
      <c r="X15" s="4" t="str">
        <f t="shared" si="2"/>
        <v>02MQ7</v>
      </c>
      <c r="Y15" s="4" t="str">
        <f>"14470-121-001"</f>
        <v>14470-121-001</v>
      </c>
      <c r="Z15" s="4" t="str">
        <f>""</f>
        <v/>
      </c>
      <c r="AA15" s="4" t="str">
        <f>""</f>
        <v/>
      </c>
      <c r="AB15" s="5">
        <v>43465</v>
      </c>
      <c r="AC15" s="4">
        <v>5375</v>
      </c>
    </row>
    <row r="16" spans="1:29" ht="14.45" customHeight="1" x14ac:dyDescent="0.25">
      <c r="A16" s="4" t="s">
        <v>25</v>
      </c>
      <c r="B16" s="4" t="s">
        <v>139</v>
      </c>
      <c r="C16" s="4" t="s">
        <v>140</v>
      </c>
      <c r="D16" s="4" t="s">
        <v>28</v>
      </c>
      <c r="E16" s="4" t="s">
        <v>249</v>
      </c>
      <c r="F16" s="4" t="s">
        <v>250</v>
      </c>
      <c r="G16" s="4" t="s">
        <v>250</v>
      </c>
      <c r="H16" s="4" t="s">
        <v>251</v>
      </c>
      <c r="I16" s="4" t="s">
        <v>32</v>
      </c>
      <c r="J16" s="4" t="str">
        <f>"4130SB0003102"</f>
        <v>4130SB0003102</v>
      </c>
      <c r="K16" s="4" t="s">
        <v>261</v>
      </c>
      <c r="L16" s="4" t="str">
        <f>""</f>
        <v/>
      </c>
      <c r="M16" s="4" t="str">
        <f>""</f>
        <v/>
      </c>
      <c r="N16" s="4" t="s">
        <v>34</v>
      </c>
      <c r="O16" s="3"/>
      <c r="P16" s="3"/>
      <c r="Q16" s="3"/>
      <c r="R16" s="4" t="s">
        <v>35</v>
      </c>
      <c r="S16" s="3"/>
      <c r="T16" s="4" t="str">
        <f>"14470-121-002"</f>
        <v>14470-121-002</v>
      </c>
      <c r="U16" s="4" t="str">
        <f>"NCIA10301756"</f>
        <v>NCIA10301756</v>
      </c>
      <c r="V16" s="4" t="str">
        <f>""</f>
        <v/>
      </c>
      <c r="W16" s="4" t="s">
        <v>36</v>
      </c>
      <c r="X16" s="4" t="str">
        <f t="shared" si="2"/>
        <v>02MQ7</v>
      </c>
      <c r="Y16" s="4" t="str">
        <f>"14470-121-002"</f>
        <v>14470-121-002</v>
      </c>
      <c r="Z16" s="4" t="str">
        <f>""</f>
        <v/>
      </c>
      <c r="AA16" s="4" t="str">
        <f>""</f>
        <v/>
      </c>
      <c r="AB16" s="5">
        <v>43465</v>
      </c>
      <c r="AC16" s="6">
        <v>3951961075</v>
      </c>
    </row>
    <row r="17" spans="1:29" ht="14.45" customHeight="1" x14ac:dyDescent="0.25">
      <c r="A17" s="4" t="s">
        <v>25</v>
      </c>
      <c r="B17" s="4" t="s">
        <v>139</v>
      </c>
      <c r="C17" s="4" t="s">
        <v>140</v>
      </c>
      <c r="D17" s="4" t="s">
        <v>28</v>
      </c>
      <c r="E17" s="4" t="s">
        <v>249</v>
      </c>
      <c r="F17" s="4" t="s">
        <v>250</v>
      </c>
      <c r="G17" s="4" t="s">
        <v>250</v>
      </c>
      <c r="H17" s="4" t="s">
        <v>251</v>
      </c>
      <c r="I17" s="4" t="s">
        <v>32</v>
      </c>
      <c r="J17" s="4" t="str">
        <f>"4130SB0003102"</f>
        <v>4130SB0003102</v>
      </c>
      <c r="K17" s="4" t="s">
        <v>261</v>
      </c>
      <c r="L17" s="4" t="str">
        <f>""</f>
        <v/>
      </c>
      <c r="M17" s="4" t="str">
        <f>""</f>
        <v/>
      </c>
      <c r="N17" s="4" t="s">
        <v>34</v>
      </c>
      <c r="O17" s="3"/>
      <c r="P17" s="3"/>
      <c r="Q17" s="3"/>
      <c r="R17" s="4" t="s">
        <v>35</v>
      </c>
      <c r="S17" s="3"/>
      <c r="T17" s="4" t="str">
        <f>"14470-121-002"</f>
        <v>14470-121-002</v>
      </c>
      <c r="U17" s="4" t="str">
        <f>"NCIAX11191309"</f>
        <v>NCIAX11191309</v>
      </c>
      <c r="V17" s="4" t="str">
        <f>""</f>
        <v/>
      </c>
      <c r="W17" s="4" t="s">
        <v>36</v>
      </c>
      <c r="X17" s="4" t="str">
        <f t="shared" si="2"/>
        <v>02MQ7</v>
      </c>
      <c r="Y17" s="4" t="str">
        <f>"14470-121-002"</f>
        <v>14470-121-002</v>
      </c>
      <c r="Z17" s="4" t="str">
        <f>""</f>
        <v/>
      </c>
      <c r="AA17" s="4" t="str">
        <f>""</f>
        <v/>
      </c>
      <c r="AB17" s="5">
        <v>43465</v>
      </c>
      <c r="AC17" s="6">
        <v>3951961075</v>
      </c>
    </row>
    <row r="18" spans="1:29" ht="14.45" customHeight="1" x14ac:dyDescent="0.25">
      <c r="A18" s="4" t="s">
        <v>25</v>
      </c>
      <c r="B18" s="4" t="s">
        <v>139</v>
      </c>
      <c r="C18" s="4" t="s">
        <v>140</v>
      </c>
      <c r="D18" s="4" t="s">
        <v>28</v>
      </c>
      <c r="E18" s="4" t="s">
        <v>249</v>
      </c>
      <c r="F18" s="4" t="s">
        <v>250</v>
      </c>
      <c r="G18" s="4" t="s">
        <v>250</v>
      </c>
      <c r="H18" s="4" t="s">
        <v>251</v>
      </c>
      <c r="I18" s="4" t="s">
        <v>32</v>
      </c>
      <c r="J18" s="4" t="str">
        <f>"4130SB0003615"</f>
        <v>4130SB0003615</v>
      </c>
      <c r="K18" s="4" t="s">
        <v>262</v>
      </c>
      <c r="L18" s="4" t="str">
        <f>""</f>
        <v/>
      </c>
      <c r="M18" s="4" t="str">
        <f>""</f>
        <v/>
      </c>
      <c r="N18" s="4" t="s">
        <v>34</v>
      </c>
      <c r="O18" s="3"/>
      <c r="P18" s="3"/>
      <c r="Q18" s="3"/>
      <c r="R18" s="4" t="s">
        <v>35</v>
      </c>
      <c r="S18" s="3"/>
      <c r="T18" s="4" t="str">
        <f>"ATV311HU55N4"</f>
        <v>ATV311HU55N4</v>
      </c>
      <c r="U18" s="4" t="str">
        <f>"01-114069"</f>
        <v>01-114069</v>
      </c>
      <c r="V18" s="4" t="str">
        <f>"01198085"</f>
        <v>01198085</v>
      </c>
      <c r="W18" s="4" t="s">
        <v>36</v>
      </c>
      <c r="X18" s="4" t="str">
        <f t="shared" si="2"/>
        <v>02MQ7</v>
      </c>
      <c r="Y18" s="4" t="str">
        <f>"ATV312HU55N4"</f>
        <v>ATV312HU55N4</v>
      </c>
      <c r="Z18" s="4" t="str">
        <f>""</f>
        <v/>
      </c>
      <c r="AA18" s="4" t="str">
        <f>""</f>
        <v/>
      </c>
      <c r="AB18" s="5">
        <v>43465</v>
      </c>
      <c r="AC18" s="4">
        <v>1322.76</v>
      </c>
    </row>
    <row r="19" spans="1:29" ht="14.45" customHeight="1" x14ac:dyDescent="0.25">
      <c r="A19" s="4" t="s">
        <v>25</v>
      </c>
      <c r="B19" s="4" t="s">
        <v>139</v>
      </c>
      <c r="C19" s="4" t="s">
        <v>140</v>
      </c>
      <c r="D19" s="4" t="s">
        <v>28</v>
      </c>
      <c r="E19" s="4" t="s">
        <v>249</v>
      </c>
      <c r="F19" s="4" t="s">
        <v>250</v>
      </c>
      <c r="G19" s="4" t="s">
        <v>250</v>
      </c>
      <c r="H19" s="4" t="s">
        <v>251</v>
      </c>
      <c r="I19" s="4" t="s">
        <v>32</v>
      </c>
      <c r="J19" s="4" t="str">
        <f>"4130SB0003615"</f>
        <v>4130SB0003615</v>
      </c>
      <c r="K19" s="4" t="s">
        <v>262</v>
      </c>
      <c r="L19" s="4" t="str">
        <f>""</f>
        <v/>
      </c>
      <c r="M19" s="4" t="str">
        <f>""</f>
        <v/>
      </c>
      <c r="N19" s="4" t="s">
        <v>34</v>
      </c>
      <c r="O19" s="3"/>
      <c r="P19" s="3"/>
      <c r="Q19" s="3"/>
      <c r="R19" s="4" t="s">
        <v>35</v>
      </c>
      <c r="S19" s="3"/>
      <c r="T19" s="4" t="str">
        <f>"ATV311HU55N4"</f>
        <v>ATV311HU55N4</v>
      </c>
      <c r="U19" s="4" t="str">
        <f>"01-114070"</f>
        <v>01-114070</v>
      </c>
      <c r="V19" s="4" t="str">
        <f>"01198086"</f>
        <v>01198086</v>
      </c>
      <c r="W19" s="4" t="s">
        <v>36</v>
      </c>
      <c r="X19" s="4" t="str">
        <f t="shared" si="2"/>
        <v>02MQ7</v>
      </c>
      <c r="Y19" s="4" t="str">
        <f>"ATV312HU55N4"</f>
        <v>ATV312HU55N4</v>
      </c>
      <c r="Z19" s="4" t="str">
        <f>""</f>
        <v/>
      </c>
      <c r="AA19" s="4" t="str">
        <f>""</f>
        <v/>
      </c>
      <c r="AB19" s="5">
        <v>43465</v>
      </c>
      <c r="AC19" s="4">
        <v>1322.76</v>
      </c>
    </row>
    <row r="20" spans="1:29" ht="14.45" customHeight="1" x14ac:dyDescent="0.25">
      <c r="A20" s="4" t="s">
        <v>25</v>
      </c>
      <c r="B20" s="4" t="s">
        <v>139</v>
      </c>
      <c r="C20" s="4" t="s">
        <v>140</v>
      </c>
      <c r="D20" s="4" t="s">
        <v>28</v>
      </c>
      <c r="E20" s="4" t="s">
        <v>249</v>
      </c>
      <c r="F20" s="4" t="s">
        <v>250</v>
      </c>
      <c r="G20" s="4" t="s">
        <v>250</v>
      </c>
      <c r="H20" s="4" t="s">
        <v>251</v>
      </c>
      <c r="I20" s="4" t="s">
        <v>32</v>
      </c>
      <c r="J20" s="4" t="str">
        <f>"4130SB0003615"</f>
        <v>4130SB0003615</v>
      </c>
      <c r="K20" s="4" t="s">
        <v>262</v>
      </c>
      <c r="L20" s="4" t="str">
        <f>""</f>
        <v/>
      </c>
      <c r="M20" s="4" t="str">
        <f>""</f>
        <v/>
      </c>
      <c r="N20" s="4" t="s">
        <v>34</v>
      </c>
      <c r="O20" s="3"/>
      <c r="P20" s="3"/>
      <c r="Q20" s="3"/>
      <c r="R20" s="4" t="s">
        <v>35</v>
      </c>
      <c r="S20" s="3"/>
      <c r="T20" s="4" t="str">
        <f>"ATV311HU55N4"</f>
        <v>ATV311HU55N4</v>
      </c>
      <c r="U20" s="4" t="str">
        <f>"01-114071"</f>
        <v>01-114071</v>
      </c>
      <c r="V20" s="4" t="str">
        <f>"00998334"</f>
        <v>00998334</v>
      </c>
      <c r="W20" s="4" t="s">
        <v>36</v>
      </c>
      <c r="X20" s="4" t="str">
        <f t="shared" si="2"/>
        <v>02MQ7</v>
      </c>
      <c r="Y20" s="4" t="str">
        <f>"ATV312HU55N4"</f>
        <v>ATV312HU55N4</v>
      </c>
      <c r="Z20" s="4" t="str">
        <f>""</f>
        <v/>
      </c>
      <c r="AA20" s="4" t="str">
        <f>""</f>
        <v/>
      </c>
      <c r="AB20" s="5">
        <v>43465</v>
      </c>
      <c r="AC20" s="4">
        <v>1322.76</v>
      </c>
    </row>
    <row r="21" spans="1:29" ht="14.45" customHeight="1" x14ac:dyDescent="0.25">
      <c r="A21" s="4" t="s">
        <v>25</v>
      </c>
      <c r="B21" s="4" t="s">
        <v>139</v>
      </c>
      <c r="C21" s="4" t="s">
        <v>140</v>
      </c>
      <c r="D21" s="4" t="s">
        <v>28</v>
      </c>
      <c r="E21" s="4" t="s">
        <v>249</v>
      </c>
      <c r="F21" s="4" t="s">
        <v>250</v>
      </c>
      <c r="G21" s="4" t="s">
        <v>250</v>
      </c>
      <c r="H21" s="4" t="s">
        <v>251</v>
      </c>
      <c r="I21" s="4" t="s">
        <v>32</v>
      </c>
      <c r="J21" s="4" t="str">
        <f>"4440SB0003011"</f>
        <v>4440SB0003011</v>
      </c>
      <c r="K21" s="4" t="s">
        <v>33</v>
      </c>
      <c r="L21" s="4" t="str">
        <f>""</f>
        <v/>
      </c>
      <c r="M21" s="4" t="str">
        <f>""</f>
        <v/>
      </c>
      <c r="N21" s="4" t="s">
        <v>34</v>
      </c>
      <c r="O21" s="3"/>
      <c r="P21" s="3"/>
      <c r="Q21" s="3"/>
      <c r="R21" s="4" t="s">
        <v>35</v>
      </c>
      <c r="S21" s="3"/>
      <c r="T21" s="4" t="str">
        <f>"23740"</f>
        <v>23740</v>
      </c>
      <c r="U21" s="4" t="str">
        <f>"01-113782"</f>
        <v>01-113782</v>
      </c>
      <c r="V21" s="4" t="str">
        <f>"0014"</f>
        <v>0014</v>
      </c>
      <c r="W21" s="4" t="s">
        <v>36</v>
      </c>
      <c r="X21" s="4" t="str">
        <f t="shared" si="2"/>
        <v>02MQ7</v>
      </c>
      <c r="Y21" s="4" t="str">
        <f>"10537-08009"</f>
        <v>10537-08009</v>
      </c>
      <c r="Z21" s="4" t="str">
        <f>""</f>
        <v/>
      </c>
      <c r="AA21" s="4" t="str">
        <f>""</f>
        <v/>
      </c>
      <c r="AB21" s="5">
        <v>43465</v>
      </c>
      <c r="AC21" s="4">
        <v>0</v>
      </c>
    </row>
    <row r="22" spans="1:29" ht="14.45" customHeight="1" x14ac:dyDescent="0.25">
      <c r="A22" s="4" t="s">
        <v>25</v>
      </c>
      <c r="B22" s="4" t="s">
        <v>139</v>
      </c>
      <c r="C22" s="4" t="s">
        <v>140</v>
      </c>
      <c r="D22" s="4" t="s">
        <v>28</v>
      </c>
      <c r="E22" s="4" t="s">
        <v>249</v>
      </c>
      <c r="F22" s="4" t="s">
        <v>250</v>
      </c>
      <c r="G22" s="4" t="s">
        <v>250</v>
      </c>
      <c r="H22" s="4" t="s">
        <v>251</v>
      </c>
      <c r="I22" s="4" t="s">
        <v>263</v>
      </c>
      <c r="J22" s="4" t="str">
        <f>"4520SB0001965"</f>
        <v>4520SB0001965</v>
      </c>
      <c r="K22" s="4" t="s">
        <v>264</v>
      </c>
      <c r="L22" s="4" t="str">
        <f>""</f>
        <v/>
      </c>
      <c r="M22" s="4" t="str">
        <f>""</f>
        <v/>
      </c>
      <c r="N22" s="4" t="s">
        <v>34</v>
      </c>
      <c r="O22" s="3"/>
      <c r="P22" s="3"/>
      <c r="Q22" s="3"/>
      <c r="R22" s="4" t="s">
        <v>35</v>
      </c>
      <c r="S22" s="3"/>
      <c r="T22" s="4" t="str">
        <f>"4520226133506"</f>
        <v>4520226133506</v>
      </c>
      <c r="U22" s="4" t="str">
        <f>"NCIA10296747"</f>
        <v>NCIA10296747</v>
      </c>
      <c r="V22" s="4" t="str">
        <f>"1701231429470"</f>
        <v>1701231429470</v>
      </c>
      <c r="W22" s="4" t="s">
        <v>36</v>
      </c>
      <c r="X22" s="4" t="str">
        <f>"R3037"</f>
        <v>R3037</v>
      </c>
      <c r="Y22" s="4" t="str">
        <f>"322029"</f>
        <v>322029</v>
      </c>
      <c r="Z22" s="4" t="str">
        <f>""</f>
        <v/>
      </c>
      <c r="AA22" s="4" t="str">
        <f>""</f>
        <v/>
      </c>
      <c r="AB22" s="5">
        <v>43465</v>
      </c>
      <c r="AC22" s="4">
        <v>0</v>
      </c>
    </row>
    <row r="23" spans="1:29" ht="14.45" customHeight="1" x14ac:dyDescent="0.25">
      <c r="A23" s="4" t="s">
        <v>25</v>
      </c>
      <c r="B23" s="4" t="s">
        <v>139</v>
      </c>
      <c r="C23" s="4" t="s">
        <v>140</v>
      </c>
      <c r="D23" s="4" t="s">
        <v>28</v>
      </c>
      <c r="E23" s="4" t="s">
        <v>249</v>
      </c>
      <c r="F23" s="4" t="s">
        <v>250</v>
      </c>
      <c r="G23" s="4" t="s">
        <v>250</v>
      </c>
      <c r="H23" s="4" t="s">
        <v>251</v>
      </c>
      <c r="I23" s="4" t="s">
        <v>37</v>
      </c>
      <c r="J23" s="4" t="str">
        <f>"5180SB0005714"</f>
        <v>5180SB0005714</v>
      </c>
      <c r="K23" s="4" t="s">
        <v>265</v>
      </c>
      <c r="L23" s="4" t="str">
        <f>""</f>
        <v/>
      </c>
      <c r="M23" s="4" t="str">
        <f>""</f>
        <v/>
      </c>
      <c r="N23" s="4" t="s">
        <v>34</v>
      </c>
      <c r="O23" s="3"/>
      <c r="P23" s="3"/>
      <c r="Q23" s="3"/>
      <c r="R23" s="4" t="s">
        <v>35</v>
      </c>
      <c r="S23" s="3"/>
      <c r="T23" s="4" t="str">
        <f>"10537-09000"</f>
        <v>10537-09000</v>
      </c>
      <c r="U23" s="4" t="str">
        <f>"NCIAX11191307"</f>
        <v>NCIAX11191307</v>
      </c>
      <c r="V23" s="4" t="str">
        <f>""</f>
        <v/>
      </c>
      <c r="W23" s="4" t="s">
        <v>36</v>
      </c>
      <c r="X23" s="4" t="str">
        <f>"02MQ7"</f>
        <v>02MQ7</v>
      </c>
      <c r="Y23" s="4" t="str">
        <f>"10537-09000"</f>
        <v>10537-09000</v>
      </c>
      <c r="Z23" s="4" t="str">
        <f>""</f>
        <v/>
      </c>
      <c r="AA23" s="4" t="str">
        <f>""</f>
        <v/>
      </c>
      <c r="AB23" s="5">
        <v>43465</v>
      </c>
      <c r="AC23" s="6">
        <v>5594252568</v>
      </c>
    </row>
    <row r="24" spans="1:29" ht="14.45" customHeight="1" x14ac:dyDescent="0.25">
      <c r="A24" s="4" t="s">
        <v>25</v>
      </c>
      <c r="B24" s="4" t="s">
        <v>139</v>
      </c>
      <c r="C24" s="4" t="s">
        <v>140</v>
      </c>
      <c r="D24" s="4" t="s">
        <v>28</v>
      </c>
      <c r="E24" s="4" t="s">
        <v>249</v>
      </c>
      <c r="F24" s="4" t="s">
        <v>250</v>
      </c>
      <c r="G24" s="4" t="s">
        <v>250</v>
      </c>
      <c r="H24" s="4" t="s">
        <v>251</v>
      </c>
      <c r="I24" s="4" t="s">
        <v>37</v>
      </c>
      <c r="J24" s="4" t="str">
        <f>"5340SB0004263"</f>
        <v>5340SB0004263</v>
      </c>
      <c r="K24" s="4" t="s">
        <v>266</v>
      </c>
      <c r="L24" s="4" t="str">
        <f>""</f>
        <v/>
      </c>
      <c r="M24" s="4" t="str">
        <f>""</f>
        <v/>
      </c>
      <c r="N24" s="4" t="s">
        <v>267</v>
      </c>
      <c r="O24" s="3"/>
      <c r="P24" s="3"/>
      <c r="Q24" s="3"/>
      <c r="R24" s="4" t="s">
        <v>35</v>
      </c>
      <c r="S24" s="3"/>
      <c r="T24" s="4" t="str">
        <f>"5340015798355"</f>
        <v>5340015798355</v>
      </c>
      <c r="U24" s="4" t="str">
        <f>"NCIAX11191310"</f>
        <v>NCIAX11191310</v>
      </c>
      <c r="V24" s="4" t="str">
        <f>""</f>
        <v/>
      </c>
      <c r="W24" s="4" t="s">
        <v>36</v>
      </c>
      <c r="X24" s="4" t="str">
        <f>"02MQ7"</f>
        <v>02MQ7</v>
      </c>
      <c r="Y24" s="4" t="str">
        <f>"PL 330/25N"</f>
        <v>PL 330/25N</v>
      </c>
      <c r="Z24" s="4" t="str">
        <f>""</f>
        <v/>
      </c>
      <c r="AA24" s="4" t="str">
        <f>""</f>
        <v/>
      </c>
      <c r="AB24" s="5">
        <v>43465</v>
      </c>
      <c r="AC24" s="6">
        <v>1334652917</v>
      </c>
    </row>
    <row r="25" spans="1:29" ht="14.45" customHeight="1" x14ac:dyDescent="0.25">
      <c r="A25" s="4" t="s">
        <v>25</v>
      </c>
      <c r="B25" s="4" t="s">
        <v>139</v>
      </c>
      <c r="C25" s="4" t="s">
        <v>140</v>
      </c>
      <c r="D25" s="4" t="s">
        <v>28</v>
      </c>
      <c r="E25" s="4" t="s">
        <v>249</v>
      </c>
      <c r="F25" s="4" t="s">
        <v>250</v>
      </c>
      <c r="G25" s="4" t="s">
        <v>250</v>
      </c>
      <c r="H25" s="4" t="s">
        <v>251</v>
      </c>
      <c r="I25" s="4" t="s">
        <v>42</v>
      </c>
      <c r="J25" s="4" t="str">
        <f>"5895SB0001941"</f>
        <v>5895SB0001941</v>
      </c>
      <c r="K25" s="4" t="s">
        <v>43</v>
      </c>
      <c r="L25" s="4" t="str">
        <f>""</f>
        <v/>
      </c>
      <c r="M25" s="4" t="str">
        <f>""</f>
        <v/>
      </c>
      <c r="N25" s="4" t="s">
        <v>34</v>
      </c>
      <c r="O25" s="3"/>
      <c r="P25" s="3"/>
      <c r="Q25" s="3"/>
      <c r="R25" s="4" t="s">
        <v>35</v>
      </c>
      <c r="S25" s="3"/>
      <c r="T25" s="4" t="str">
        <f>"5895145560369"</f>
        <v>5895145560369</v>
      </c>
      <c r="U25" s="4" t="str">
        <f>"03-112983"</f>
        <v>03-112983</v>
      </c>
      <c r="V25" s="4" t="str">
        <f>"61936039AA00015"</f>
        <v>61936039AA00015</v>
      </c>
      <c r="W25" s="4" t="s">
        <v>36</v>
      </c>
      <c r="X25" s="4" t="str">
        <f>"F0057"</f>
        <v>F0057</v>
      </c>
      <c r="Y25" s="4" t="str">
        <f>"61936039AA"</f>
        <v>61936039AA</v>
      </c>
      <c r="Z25" s="4" t="str">
        <f>""</f>
        <v/>
      </c>
      <c r="AA25" s="4" t="str">
        <f>""</f>
        <v/>
      </c>
      <c r="AB25" s="5">
        <v>43465</v>
      </c>
      <c r="AC25" s="4">
        <v>0</v>
      </c>
    </row>
    <row r="26" spans="1:29" ht="14.45" customHeight="1" x14ac:dyDescent="0.25">
      <c r="A26" s="4" t="s">
        <v>25</v>
      </c>
      <c r="B26" s="4" t="s">
        <v>139</v>
      </c>
      <c r="C26" s="4" t="s">
        <v>140</v>
      </c>
      <c r="D26" s="4" t="s">
        <v>28</v>
      </c>
      <c r="E26" s="4" t="s">
        <v>249</v>
      </c>
      <c r="F26" s="4" t="s">
        <v>250</v>
      </c>
      <c r="G26" s="4" t="s">
        <v>250</v>
      </c>
      <c r="H26" s="4" t="s">
        <v>251</v>
      </c>
      <c r="I26" s="4" t="s">
        <v>44</v>
      </c>
      <c r="J26" s="4" t="str">
        <f>"5895SB0002255"</f>
        <v>5895SB0002255</v>
      </c>
      <c r="K26" s="4" t="s">
        <v>45</v>
      </c>
      <c r="L26" s="4" t="str">
        <f>""</f>
        <v/>
      </c>
      <c r="M26" s="4" t="str">
        <f>""</f>
        <v/>
      </c>
      <c r="N26" s="4" t="s">
        <v>34</v>
      </c>
      <c r="O26" s="3"/>
      <c r="P26" s="3"/>
      <c r="Q26" s="3"/>
      <c r="R26" s="4" t="s">
        <v>35</v>
      </c>
      <c r="S26" s="3"/>
      <c r="T26" s="4" t="str">
        <f>"6130015980922"</f>
        <v>6130015980922</v>
      </c>
      <c r="U26" s="4" t="str">
        <f>"01-113803"</f>
        <v>01-113803</v>
      </c>
      <c r="V26" s="4" t="str">
        <f>"VCP09070449"</f>
        <v>VCP09070449</v>
      </c>
      <c r="W26" s="4" t="s">
        <v>36</v>
      </c>
      <c r="X26" s="4" t="str">
        <f>"02MQ7"</f>
        <v>02MQ7</v>
      </c>
      <c r="Y26" s="4" t="str">
        <f>"93-370-2700-15"</f>
        <v>93-370-2700-15</v>
      </c>
      <c r="Z26" s="4" t="str">
        <f>""</f>
        <v/>
      </c>
      <c r="AA26" s="4" t="str">
        <f>""</f>
        <v/>
      </c>
      <c r="AB26" s="5">
        <v>43465</v>
      </c>
      <c r="AC26" s="4">
        <v>0</v>
      </c>
    </row>
    <row r="27" spans="1:29" ht="14.45" customHeight="1" x14ac:dyDescent="0.25">
      <c r="A27" s="4" t="s">
        <v>25</v>
      </c>
      <c r="B27" s="4" t="s">
        <v>139</v>
      </c>
      <c r="C27" s="4" t="s">
        <v>140</v>
      </c>
      <c r="D27" s="4" t="s">
        <v>28</v>
      </c>
      <c r="E27" s="4" t="s">
        <v>249</v>
      </c>
      <c r="F27" s="4" t="s">
        <v>250</v>
      </c>
      <c r="G27" s="4" t="s">
        <v>250</v>
      </c>
      <c r="H27" s="4" t="s">
        <v>251</v>
      </c>
      <c r="I27" s="4" t="s">
        <v>47</v>
      </c>
      <c r="J27" s="4" t="str">
        <f>"5895SB0002379"</f>
        <v>5895SB0002379</v>
      </c>
      <c r="K27" s="4" t="s">
        <v>48</v>
      </c>
      <c r="L27" s="4" t="str">
        <f>""</f>
        <v/>
      </c>
      <c r="M27" s="4" t="str">
        <f>""</f>
        <v/>
      </c>
      <c r="N27" s="4" t="s">
        <v>34</v>
      </c>
      <c r="O27" s="3"/>
      <c r="P27" s="3"/>
      <c r="Q27" s="3"/>
      <c r="R27" s="4" t="s">
        <v>35</v>
      </c>
      <c r="S27" s="3"/>
      <c r="T27" s="4" t="str">
        <f>"5895015192415"</f>
        <v>5895015192415</v>
      </c>
      <c r="U27" s="4" t="str">
        <f>"03-134396"</f>
        <v>03-134396</v>
      </c>
      <c r="V27" s="4" t="str">
        <f>"121713470080"</f>
        <v>121713470080</v>
      </c>
      <c r="W27" s="4" t="s">
        <v>36</v>
      </c>
      <c r="X27" s="4" t="str">
        <f>"2U761"</f>
        <v>2U761</v>
      </c>
      <c r="Y27" s="4" t="str">
        <f>"1075560"</f>
        <v>1075560</v>
      </c>
      <c r="Z27" s="4" t="str">
        <f>""</f>
        <v/>
      </c>
      <c r="AA27" s="4" t="str">
        <f>""</f>
        <v/>
      </c>
      <c r="AB27" s="5">
        <v>43465</v>
      </c>
      <c r="AC27" s="4">
        <v>0</v>
      </c>
    </row>
    <row r="28" spans="1:29" ht="14.45" customHeight="1" x14ac:dyDescent="0.25">
      <c r="A28" s="4" t="s">
        <v>25</v>
      </c>
      <c r="B28" s="4" t="s">
        <v>139</v>
      </c>
      <c r="C28" s="4" t="s">
        <v>140</v>
      </c>
      <c r="D28" s="4" t="s">
        <v>28</v>
      </c>
      <c r="E28" s="4" t="s">
        <v>249</v>
      </c>
      <c r="F28" s="4" t="s">
        <v>250</v>
      </c>
      <c r="G28" s="4" t="s">
        <v>250</v>
      </c>
      <c r="H28" s="4" t="s">
        <v>251</v>
      </c>
      <c r="I28" s="4" t="s">
        <v>47</v>
      </c>
      <c r="J28" s="4" t="str">
        <f>"5895SB0002379"</f>
        <v>5895SB0002379</v>
      </c>
      <c r="K28" s="4" t="s">
        <v>48</v>
      </c>
      <c r="L28" s="4" t="str">
        <f>""</f>
        <v/>
      </c>
      <c r="M28" s="4" t="str">
        <f>""</f>
        <v/>
      </c>
      <c r="N28" s="4" t="s">
        <v>34</v>
      </c>
      <c r="O28" s="3"/>
      <c r="P28" s="3"/>
      <c r="Q28" s="3"/>
      <c r="R28" s="4" t="s">
        <v>35</v>
      </c>
      <c r="S28" s="3"/>
      <c r="T28" s="4" t="str">
        <f>"5895015192415"</f>
        <v>5895015192415</v>
      </c>
      <c r="U28" s="4" t="str">
        <f>"03-134398"</f>
        <v>03-134398</v>
      </c>
      <c r="V28" s="4" t="str">
        <f>"121713470082"</f>
        <v>121713470082</v>
      </c>
      <c r="W28" s="4" t="s">
        <v>36</v>
      </c>
      <c r="X28" s="4" t="str">
        <f>"2U761"</f>
        <v>2U761</v>
      </c>
      <c r="Y28" s="4" t="str">
        <f>"1075560"</f>
        <v>1075560</v>
      </c>
      <c r="Z28" s="4" t="str">
        <f>""</f>
        <v/>
      </c>
      <c r="AA28" s="4" t="str">
        <f>""</f>
        <v/>
      </c>
      <c r="AB28" s="5">
        <v>43465</v>
      </c>
      <c r="AC28" s="4">
        <v>0</v>
      </c>
    </row>
    <row r="29" spans="1:29" ht="14.45" customHeight="1" x14ac:dyDescent="0.25">
      <c r="A29" s="4" t="s">
        <v>25</v>
      </c>
      <c r="B29" s="4" t="s">
        <v>139</v>
      </c>
      <c r="C29" s="4" t="s">
        <v>140</v>
      </c>
      <c r="D29" s="4" t="s">
        <v>28</v>
      </c>
      <c r="E29" s="4" t="s">
        <v>249</v>
      </c>
      <c r="F29" s="4" t="s">
        <v>250</v>
      </c>
      <c r="G29" s="4" t="s">
        <v>250</v>
      </c>
      <c r="H29" s="4" t="s">
        <v>251</v>
      </c>
      <c r="I29" s="4" t="s">
        <v>47</v>
      </c>
      <c r="J29" s="4" t="str">
        <f>"5895SB0002379"</f>
        <v>5895SB0002379</v>
      </c>
      <c r="K29" s="4" t="s">
        <v>48</v>
      </c>
      <c r="L29" s="4" t="str">
        <f>""</f>
        <v/>
      </c>
      <c r="M29" s="4" t="str">
        <f>""</f>
        <v/>
      </c>
      <c r="N29" s="4" t="s">
        <v>34</v>
      </c>
      <c r="O29" s="3"/>
      <c r="P29" s="3"/>
      <c r="Q29" s="3"/>
      <c r="R29" s="4" t="s">
        <v>35</v>
      </c>
      <c r="S29" s="3"/>
      <c r="T29" s="4" t="str">
        <f>"5895015192415"</f>
        <v>5895015192415</v>
      </c>
      <c r="U29" s="4" t="str">
        <f>"03-134400"</f>
        <v>03-134400</v>
      </c>
      <c r="V29" s="4" t="str">
        <f>"121713470074"</f>
        <v>121713470074</v>
      </c>
      <c r="W29" s="4" t="s">
        <v>36</v>
      </c>
      <c r="X29" s="4" t="str">
        <f>"2U761"</f>
        <v>2U761</v>
      </c>
      <c r="Y29" s="4" t="str">
        <f>"1075560"</f>
        <v>1075560</v>
      </c>
      <c r="Z29" s="4" t="str">
        <f>""</f>
        <v/>
      </c>
      <c r="AA29" s="4" t="str">
        <f>""</f>
        <v/>
      </c>
      <c r="AB29" s="5">
        <v>43465</v>
      </c>
      <c r="AC29" s="4">
        <v>0</v>
      </c>
    </row>
    <row r="30" spans="1:29" ht="14.45" customHeight="1" x14ac:dyDescent="0.25">
      <c r="A30" s="4" t="s">
        <v>25</v>
      </c>
      <c r="B30" s="4" t="s">
        <v>139</v>
      </c>
      <c r="C30" s="4" t="s">
        <v>140</v>
      </c>
      <c r="D30" s="4" t="s">
        <v>28</v>
      </c>
      <c r="E30" s="4" t="s">
        <v>249</v>
      </c>
      <c r="F30" s="4" t="s">
        <v>250</v>
      </c>
      <c r="G30" s="4" t="s">
        <v>250</v>
      </c>
      <c r="H30" s="4" t="s">
        <v>251</v>
      </c>
      <c r="I30" s="4" t="s">
        <v>47</v>
      </c>
      <c r="J30" s="4" t="str">
        <f>"5895SB0002379"</f>
        <v>5895SB0002379</v>
      </c>
      <c r="K30" s="4" t="s">
        <v>48</v>
      </c>
      <c r="L30" s="4" t="str">
        <f>""</f>
        <v/>
      </c>
      <c r="M30" s="4" t="str">
        <f>""</f>
        <v/>
      </c>
      <c r="N30" s="4" t="s">
        <v>34</v>
      </c>
      <c r="O30" s="3"/>
      <c r="P30" s="3"/>
      <c r="Q30" s="3"/>
      <c r="R30" s="4" t="s">
        <v>35</v>
      </c>
      <c r="S30" s="3"/>
      <c r="T30" s="4" t="str">
        <f>"5895015192415"</f>
        <v>5895015192415</v>
      </c>
      <c r="U30" s="4" t="str">
        <f>"03-134445"</f>
        <v>03-134445</v>
      </c>
      <c r="V30" s="4" t="str">
        <f>"121713470020"</f>
        <v>121713470020</v>
      </c>
      <c r="W30" s="4" t="s">
        <v>36</v>
      </c>
      <c r="X30" s="4" t="str">
        <f>"2U761"</f>
        <v>2U761</v>
      </c>
      <c r="Y30" s="4" t="str">
        <f>"1075560"</f>
        <v>1075560</v>
      </c>
      <c r="Z30" s="4" t="str">
        <f>""</f>
        <v/>
      </c>
      <c r="AA30" s="4" t="str">
        <f>""</f>
        <v/>
      </c>
      <c r="AB30" s="5">
        <v>43465</v>
      </c>
      <c r="AC30" s="4">
        <v>0</v>
      </c>
    </row>
    <row r="31" spans="1:29" ht="14.45" customHeight="1" x14ac:dyDescent="0.25">
      <c r="A31" s="4" t="s">
        <v>25</v>
      </c>
      <c r="B31" s="4" t="s">
        <v>139</v>
      </c>
      <c r="C31" s="4" t="s">
        <v>140</v>
      </c>
      <c r="D31" s="4" t="s">
        <v>28</v>
      </c>
      <c r="E31" s="4" t="s">
        <v>249</v>
      </c>
      <c r="F31" s="4" t="s">
        <v>250</v>
      </c>
      <c r="G31" s="4" t="s">
        <v>250</v>
      </c>
      <c r="H31" s="4" t="s">
        <v>251</v>
      </c>
      <c r="I31" s="4" t="s">
        <v>47</v>
      </c>
      <c r="J31" s="4" t="str">
        <f>"5895SB0002379"</f>
        <v>5895SB0002379</v>
      </c>
      <c r="K31" s="4" t="s">
        <v>48</v>
      </c>
      <c r="L31" s="4" t="str">
        <f>""</f>
        <v/>
      </c>
      <c r="M31" s="4" t="str">
        <f>""</f>
        <v/>
      </c>
      <c r="N31" s="4" t="s">
        <v>34</v>
      </c>
      <c r="O31" s="3"/>
      <c r="P31" s="3"/>
      <c r="Q31" s="3"/>
      <c r="R31" s="4" t="s">
        <v>35</v>
      </c>
      <c r="S31" s="3"/>
      <c r="T31" s="4" t="str">
        <f>"5895015192415"</f>
        <v>5895015192415</v>
      </c>
      <c r="U31" s="4" t="str">
        <f>"03-134448"</f>
        <v>03-134448</v>
      </c>
      <c r="V31" s="4" t="str">
        <f>"121713470027"</f>
        <v>121713470027</v>
      </c>
      <c r="W31" s="4" t="s">
        <v>36</v>
      </c>
      <c r="X31" s="4" t="str">
        <f>"2U761"</f>
        <v>2U761</v>
      </c>
      <c r="Y31" s="4" t="str">
        <f>"1075560"</f>
        <v>1075560</v>
      </c>
      <c r="Z31" s="4" t="str">
        <f>""</f>
        <v/>
      </c>
      <c r="AA31" s="4" t="str">
        <f>""</f>
        <v/>
      </c>
      <c r="AB31" s="5">
        <v>43465</v>
      </c>
      <c r="AC31" s="4">
        <v>0</v>
      </c>
    </row>
    <row r="32" spans="1:29" ht="14.45" customHeight="1" x14ac:dyDescent="0.25">
      <c r="A32" s="4" t="s">
        <v>25</v>
      </c>
      <c r="B32" s="4" t="s">
        <v>139</v>
      </c>
      <c r="C32" s="4" t="s">
        <v>140</v>
      </c>
      <c r="D32" s="4" t="s">
        <v>28</v>
      </c>
      <c r="E32" s="4" t="s">
        <v>249</v>
      </c>
      <c r="F32" s="4" t="s">
        <v>250</v>
      </c>
      <c r="G32" s="4" t="s">
        <v>250</v>
      </c>
      <c r="H32" s="4" t="s">
        <v>251</v>
      </c>
      <c r="I32" s="4" t="s">
        <v>51</v>
      </c>
      <c r="J32" s="4" t="str">
        <f>"5895SB0002489"</f>
        <v>5895SB0002489</v>
      </c>
      <c r="K32" s="4" t="s">
        <v>52</v>
      </c>
      <c r="L32" s="4" t="str">
        <f>""</f>
        <v/>
      </c>
      <c r="M32" s="4" t="str">
        <f>""</f>
        <v/>
      </c>
      <c r="N32" s="4" t="s">
        <v>34</v>
      </c>
      <c r="O32" s="3"/>
      <c r="P32" s="3"/>
      <c r="Q32" s="3"/>
      <c r="R32" s="4" t="s">
        <v>35</v>
      </c>
      <c r="S32" s="3"/>
      <c r="T32" s="4" t="str">
        <f>"174995-16"</f>
        <v>174995-16</v>
      </c>
      <c r="U32" s="4" t="str">
        <f>"01-114008"</f>
        <v>01-114008</v>
      </c>
      <c r="V32" s="4" t="str">
        <f>"1494783"</f>
        <v>1494783</v>
      </c>
      <c r="W32" s="4" t="s">
        <v>36</v>
      </c>
      <c r="X32" s="4" t="str">
        <f>"02MQ7"</f>
        <v>02MQ7</v>
      </c>
      <c r="Y32" s="4" t="str">
        <f>"174995-16"</f>
        <v>174995-16</v>
      </c>
      <c r="Z32" s="4" t="str">
        <f>""</f>
        <v/>
      </c>
      <c r="AA32" s="4" t="str">
        <f>""</f>
        <v/>
      </c>
      <c r="AB32" s="5">
        <v>43465</v>
      </c>
      <c r="AC32" s="4">
        <v>0</v>
      </c>
    </row>
    <row r="33" spans="1:29" ht="14.45" customHeight="1" x14ac:dyDescent="0.25">
      <c r="A33" s="4" t="s">
        <v>25</v>
      </c>
      <c r="B33" s="4" t="s">
        <v>139</v>
      </c>
      <c r="C33" s="4" t="s">
        <v>140</v>
      </c>
      <c r="D33" s="4" t="s">
        <v>28</v>
      </c>
      <c r="E33" s="4" t="s">
        <v>249</v>
      </c>
      <c r="F33" s="4" t="s">
        <v>250</v>
      </c>
      <c r="G33" s="4" t="s">
        <v>250</v>
      </c>
      <c r="H33" s="4" t="s">
        <v>251</v>
      </c>
      <c r="I33" s="4" t="s">
        <v>32</v>
      </c>
      <c r="J33" s="4" t="str">
        <f>"5895SB0002504"</f>
        <v>5895SB0002504</v>
      </c>
      <c r="K33" s="4" t="s">
        <v>268</v>
      </c>
      <c r="L33" s="4" t="str">
        <f>""</f>
        <v/>
      </c>
      <c r="M33" s="4" t="str">
        <f>""</f>
        <v/>
      </c>
      <c r="N33" s="4" t="s">
        <v>34</v>
      </c>
      <c r="O33" s="3"/>
      <c r="P33" s="3"/>
      <c r="Q33" s="3"/>
      <c r="R33" s="4" t="s">
        <v>35</v>
      </c>
      <c r="S33" s="3"/>
      <c r="T33" s="4" t="str">
        <f>"10537-05007-001"</f>
        <v>10537-05007-001</v>
      </c>
      <c r="U33" s="4" t="str">
        <f>"NCIA12038987"</f>
        <v>NCIA12038987</v>
      </c>
      <c r="V33" s="4" t="str">
        <f>"1004462"</f>
        <v>1004462</v>
      </c>
      <c r="W33" s="4" t="s">
        <v>36</v>
      </c>
      <c r="X33" s="4" t="str">
        <f>"02MQ7"</f>
        <v>02MQ7</v>
      </c>
      <c r="Y33" s="4" t="str">
        <f>"10537-05007-001"</f>
        <v>10537-05007-001</v>
      </c>
      <c r="Z33" s="4" t="str">
        <f>""</f>
        <v/>
      </c>
      <c r="AA33" s="4" t="str">
        <f>""</f>
        <v/>
      </c>
      <c r="AB33" s="5">
        <v>44041</v>
      </c>
      <c r="AC33" s="4">
        <v>0</v>
      </c>
    </row>
    <row r="34" spans="1:29" ht="14.45" customHeight="1" x14ac:dyDescent="0.25">
      <c r="A34" s="4" t="s">
        <v>25</v>
      </c>
      <c r="B34" s="4" t="s">
        <v>139</v>
      </c>
      <c r="C34" s="4" t="s">
        <v>140</v>
      </c>
      <c r="D34" s="4" t="s">
        <v>28</v>
      </c>
      <c r="E34" s="4" t="s">
        <v>249</v>
      </c>
      <c r="F34" s="4" t="s">
        <v>250</v>
      </c>
      <c r="G34" s="4" t="s">
        <v>250</v>
      </c>
      <c r="H34" s="4" t="s">
        <v>251</v>
      </c>
      <c r="I34" s="4" t="s">
        <v>126</v>
      </c>
      <c r="J34" s="4" t="str">
        <f>"5895SB0002623"</f>
        <v>5895SB0002623</v>
      </c>
      <c r="K34" s="4" t="s">
        <v>164</v>
      </c>
      <c r="L34" s="4" t="str">
        <f>""</f>
        <v/>
      </c>
      <c r="M34" s="4" t="str">
        <f>""</f>
        <v/>
      </c>
      <c r="N34" s="4" t="s">
        <v>34</v>
      </c>
      <c r="O34" s="3"/>
      <c r="P34" s="3"/>
      <c r="Q34" s="3"/>
      <c r="R34" s="4" t="s">
        <v>35</v>
      </c>
      <c r="S34" s="3"/>
      <c r="T34" s="4" t="str">
        <f>"10537-05020"</f>
        <v>10537-05020</v>
      </c>
      <c r="U34" s="4" t="str">
        <f>"NCIA12039010"</f>
        <v>NCIA12039010</v>
      </c>
      <c r="V34" s="4" t="str">
        <f>""</f>
        <v/>
      </c>
      <c r="W34" s="4" t="s">
        <v>36</v>
      </c>
      <c r="X34" s="4" t="str">
        <f>"02MQ7"</f>
        <v>02MQ7</v>
      </c>
      <c r="Y34" s="4" t="str">
        <f>"11008-05020"</f>
        <v>11008-05020</v>
      </c>
      <c r="Z34" s="4" t="str">
        <f>""</f>
        <v/>
      </c>
      <c r="AA34" s="4" t="str">
        <f>""</f>
        <v/>
      </c>
      <c r="AB34" s="5">
        <v>44041</v>
      </c>
      <c r="AC34" s="4">
        <v>0</v>
      </c>
    </row>
    <row r="35" spans="1:29" ht="14.45" customHeight="1" x14ac:dyDescent="0.25">
      <c r="A35" s="4" t="s">
        <v>25</v>
      </c>
      <c r="B35" s="4" t="s">
        <v>139</v>
      </c>
      <c r="C35" s="4" t="s">
        <v>140</v>
      </c>
      <c r="D35" s="4" t="s">
        <v>28</v>
      </c>
      <c r="E35" s="4" t="s">
        <v>249</v>
      </c>
      <c r="F35" s="4" t="s">
        <v>250</v>
      </c>
      <c r="G35" s="4" t="s">
        <v>250</v>
      </c>
      <c r="H35" s="4" t="s">
        <v>251</v>
      </c>
      <c r="I35" s="4" t="s">
        <v>54</v>
      </c>
      <c r="J35" s="4" t="str">
        <f>"5895SB0002742"</f>
        <v>5895SB0002742</v>
      </c>
      <c r="K35" s="4" t="s">
        <v>55</v>
      </c>
      <c r="L35" s="4" t="str">
        <f>""</f>
        <v/>
      </c>
      <c r="M35" s="4" t="str">
        <f>""</f>
        <v/>
      </c>
      <c r="N35" s="4" t="s">
        <v>34</v>
      </c>
      <c r="O35" s="3"/>
      <c r="P35" s="3"/>
      <c r="Q35" s="3"/>
      <c r="R35" s="4" t="s">
        <v>35</v>
      </c>
      <c r="S35" s="3"/>
      <c r="T35" s="4" t="str">
        <f>"174991-22"</f>
        <v>174991-22</v>
      </c>
      <c r="U35" s="4" t="str">
        <f>"01-114004"</f>
        <v>01-114004</v>
      </c>
      <c r="V35" s="4" t="str">
        <f>"1504862"</f>
        <v>1504862</v>
      </c>
      <c r="W35" s="4" t="s">
        <v>36</v>
      </c>
      <c r="X35" s="4" t="str">
        <f>"33592"</f>
        <v>33592</v>
      </c>
      <c r="Y35" s="4" t="str">
        <f>"208443-87"</f>
        <v>208443-87</v>
      </c>
      <c r="Z35" s="4" t="str">
        <f>""</f>
        <v/>
      </c>
      <c r="AA35" s="4" t="str">
        <f>""</f>
        <v/>
      </c>
      <c r="AB35" s="5">
        <v>43465</v>
      </c>
      <c r="AC35" s="4">
        <v>0</v>
      </c>
    </row>
    <row r="36" spans="1:29" ht="14.45" customHeight="1" x14ac:dyDescent="0.25">
      <c r="A36" s="4" t="s">
        <v>25</v>
      </c>
      <c r="B36" s="4" t="s">
        <v>139</v>
      </c>
      <c r="C36" s="4" t="s">
        <v>140</v>
      </c>
      <c r="D36" s="4" t="s">
        <v>28</v>
      </c>
      <c r="E36" s="4" t="s">
        <v>249</v>
      </c>
      <c r="F36" s="4" t="s">
        <v>250</v>
      </c>
      <c r="G36" s="4" t="s">
        <v>250</v>
      </c>
      <c r="H36" s="4" t="s">
        <v>251</v>
      </c>
      <c r="I36" s="4" t="s">
        <v>54</v>
      </c>
      <c r="J36" s="4" t="str">
        <f>"5895SB0002742"</f>
        <v>5895SB0002742</v>
      </c>
      <c r="K36" s="4" t="s">
        <v>55</v>
      </c>
      <c r="L36" s="4" t="str">
        <f>""</f>
        <v/>
      </c>
      <c r="M36" s="4" t="str">
        <f>""</f>
        <v/>
      </c>
      <c r="N36" s="4" t="s">
        <v>34</v>
      </c>
      <c r="O36" s="3"/>
      <c r="P36" s="3"/>
      <c r="Q36" s="3"/>
      <c r="R36" s="4" t="s">
        <v>35</v>
      </c>
      <c r="S36" s="3"/>
      <c r="T36" s="4" t="str">
        <f>"174991-22"</f>
        <v>174991-22</v>
      </c>
      <c r="U36" s="4" t="str">
        <f>"01-114005"</f>
        <v>01-114005</v>
      </c>
      <c r="V36" s="4" t="str">
        <f>"1488209"</f>
        <v>1488209</v>
      </c>
      <c r="W36" s="4" t="s">
        <v>36</v>
      </c>
      <c r="X36" s="4" t="str">
        <f>"33592"</f>
        <v>33592</v>
      </c>
      <c r="Y36" s="4" t="str">
        <f>"208443-87"</f>
        <v>208443-87</v>
      </c>
      <c r="Z36" s="4" t="str">
        <f>""</f>
        <v/>
      </c>
      <c r="AA36" s="4" t="str">
        <f>""</f>
        <v/>
      </c>
      <c r="AB36" s="5">
        <v>43465</v>
      </c>
      <c r="AC36" s="4">
        <v>0</v>
      </c>
    </row>
    <row r="37" spans="1:29" ht="14.45" customHeight="1" x14ac:dyDescent="0.25">
      <c r="A37" s="4" t="s">
        <v>25</v>
      </c>
      <c r="B37" s="4" t="s">
        <v>139</v>
      </c>
      <c r="C37" s="4" t="s">
        <v>140</v>
      </c>
      <c r="D37" s="4" t="s">
        <v>28</v>
      </c>
      <c r="E37" s="4" t="s">
        <v>249</v>
      </c>
      <c r="F37" s="4" t="s">
        <v>250</v>
      </c>
      <c r="G37" s="4" t="s">
        <v>250</v>
      </c>
      <c r="H37" s="4" t="s">
        <v>251</v>
      </c>
      <c r="I37" s="4" t="s">
        <v>54</v>
      </c>
      <c r="J37" s="4" t="str">
        <f>"5895SB0002742"</f>
        <v>5895SB0002742</v>
      </c>
      <c r="K37" s="4" t="s">
        <v>55</v>
      </c>
      <c r="L37" s="4" t="str">
        <f>""</f>
        <v/>
      </c>
      <c r="M37" s="4" t="str">
        <f>""</f>
        <v/>
      </c>
      <c r="N37" s="4" t="s">
        <v>34</v>
      </c>
      <c r="O37" s="3"/>
      <c r="P37" s="3"/>
      <c r="Q37" s="3"/>
      <c r="R37" s="4" t="s">
        <v>35</v>
      </c>
      <c r="S37" s="3"/>
      <c r="T37" s="4" t="str">
        <f>"174991-22"</f>
        <v>174991-22</v>
      </c>
      <c r="U37" s="4" t="str">
        <f>"NCIA12038994"</f>
        <v>NCIA12038994</v>
      </c>
      <c r="V37" s="4" t="str">
        <f>"2105525"</f>
        <v>2105525</v>
      </c>
      <c r="W37" s="4" t="s">
        <v>36</v>
      </c>
      <c r="X37" s="4" t="str">
        <f>"02MQ7"</f>
        <v>02MQ7</v>
      </c>
      <c r="Y37" s="4" t="str">
        <f>"UPB1-8.15TR FPGC"</f>
        <v>UPB1-8.15TR FPGC</v>
      </c>
      <c r="Z37" s="4" t="str">
        <f>""</f>
        <v/>
      </c>
      <c r="AA37" s="4" t="str">
        <f>""</f>
        <v/>
      </c>
      <c r="AB37" s="5">
        <v>44041</v>
      </c>
      <c r="AC37" s="4">
        <v>0</v>
      </c>
    </row>
    <row r="38" spans="1:29" ht="14.45" customHeight="1" x14ac:dyDescent="0.25">
      <c r="A38" s="4" t="s">
        <v>25</v>
      </c>
      <c r="B38" s="4" t="s">
        <v>139</v>
      </c>
      <c r="C38" s="4" t="s">
        <v>140</v>
      </c>
      <c r="D38" s="4" t="s">
        <v>28</v>
      </c>
      <c r="E38" s="4" t="s">
        <v>249</v>
      </c>
      <c r="F38" s="4" t="s">
        <v>250</v>
      </c>
      <c r="G38" s="4" t="s">
        <v>250</v>
      </c>
      <c r="H38" s="4" t="s">
        <v>251</v>
      </c>
      <c r="I38" s="4" t="s">
        <v>54</v>
      </c>
      <c r="J38" s="4" t="str">
        <f>"5895SB0002742"</f>
        <v>5895SB0002742</v>
      </c>
      <c r="K38" s="4" t="s">
        <v>55</v>
      </c>
      <c r="L38" s="4" t="str">
        <f>""</f>
        <v/>
      </c>
      <c r="M38" s="4" t="str">
        <f>""</f>
        <v/>
      </c>
      <c r="N38" s="4" t="s">
        <v>34</v>
      </c>
      <c r="O38" s="3"/>
      <c r="P38" s="3"/>
      <c r="Q38" s="3"/>
      <c r="R38" s="4" t="s">
        <v>35</v>
      </c>
      <c r="S38" s="3"/>
      <c r="T38" s="4" t="str">
        <f>"174991-22"</f>
        <v>174991-22</v>
      </c>
      <c r="U38" s="4" t="str">
        <f>"NCIA12038996"</f>
        <v>NCIA12038996</v>
      </c>
      <c r="V38" s="4" t="str">
        <f>"2105524"</f>
        <v>2105524</v>
      </c>
      <c r="W38" s="4" t="s">
        <v>36</v>
      </c>
      <c r="X38" s="4" t="str">
        <f>"02MQ7"</f>
        <v>02MQ7</v>
      </c>
      <c r="Y38" s="4" t="str">
        <f>"UPB1-8.15TR FPGC"</f>
        <v>UPB1-8.15TR FPGC</v>
      </c>
      <c r="Z38" s="4" t="str">
        <f>""</f>
        <v/>
      </c>
      <c r="AA38" s="4" t="str">
        <f>""</f>
        <v/>
      </c>
      <c r="AB38" s="5">
        <v>44041</v>
      </c>
      <c r="AC38" s="4">
        <v>0</v>
      </c>
    </row>
    <row r="39" spans="1:29" ht="14.45" customHeight="1" x14ac:dyDescent="0.25">
      <c r="A39" s="4" t="s">
        <v>25</v>
      </c>
      <c r="B39" s="4" t="s">
        <v>139</v>
      </c>
      <c r="C39" s="4" t="s">
        <v>140</v>
      </c>
      <c r="D39" s="4" t="s">
        <v>28</v>
      </c>
      <c r="E39" s="4" t="s">
        <v>249</v>
      </c>
      <c r="F39" s="4" t="s">
        <v>250</v>
      </c>
      <c r="G39" s="4" t="s">
        <v>250</v>
      </c>
      <c r="H39" s="4" t="s">
        <v>251</v>
      </c>
      <c r="I39" s="4" t="s">
        <v>56</v>
      </c>
      <c r="J39" s="4" t="str">
        <f>"5895SB0002757"</f>
        <v>5895SB0002757</v>
      </c>
      <c r="K39" s="4" t="s">
        <v>57</v>
      </c>
      <c r="L39" s="4" t="str">
        <f>""</f>
        <v/>
      </c>
      <c r="M39" s="4" t="str">
        <f>""</f>
        <v/>
      </c>
      <c r="N39" s="4" t="s">
        <v>34</v>
      </c>
      <c r="O39" s="3"/>
      <c r="P39" s="3"/>
      <c r="Q39" s="3"/>
      <c r="R39" s="4" t="s">
        <v>35</v>
      </c>
      <c r="S39" s="3"/>
      <c r="T39" s="4" t="str">
        <f>"174992-49"</f>
        <v>174992-49</v>
      </c>
      <c r="U39" s="4" t="str">
        <f>"01-114006"</f>
        <v>01-114006</v>
      </c>
      <c r="V39" s="4" t="str">
        <f>"1493193"</f>
        <v>1493193</v>
      </c>
      <c r="W39" s="4" t="s">
        <v>36</v>
      </c>
      <c r="X39" s="4" t="str">
        <f>"33592"</f>
        <v>33592</v>
      </c>
      <c r="Y39" s="4" t="str">
        <f>"DNB1-7 5TR"</f>
        <v>DNB1-7 5TR</v>
      </c>
      <c r="Z39" s="4" t="str">
        <f>""</f>
        <v/>
      </c>
      <c r="AA39" s="4" t="str">
        <f>""</f>
        <v/>
      </c>
      <c r="AB39" s="5">
        <v>43465</v>
      </c>
      <c r="AC39" s="4">
        <v>0</v>
      </c>
    </row>
    <row r="40" spans="1:29" ht="14.45" customHeight="1" x14ac:dyDescent="0.25">
      <c r="A40" s="4" t="s">
        <v>25</v>
      </c>
      <c r="B40" s="4" t="s">
        <v>139</v>
      </c>
      <c r="C40" s="4" t="s">
        <v>140</v>
      </c>
      <c r="D40" s="4" t="s">
        <v>28</v>
      </c>
      <c r="E40" s="4" t="s">
        <v>249</v>
      </c>
      <c r="F40" s="4" t="s">
        <v>250</v>
      </c>
      <c r="G40" s="4" t="s">
        <v>250</v>
      </c>
      <c r="H40" s="4" t="s">
        <v>251</v>
      </c>
      <c r="I40" s="4" t="s">
        <v>56</v>
      </c>
      <c r="J40" s="4" t="str">
        <f>"5895SB0002757"</f>
        <v>5895SB0002757</v>
      </c>
      <c r="K40" s="4" t="s">
        <v>57</v>
      </c>
      <c r="L40" s="4" t="str">
        <f>""</f>
        <v/>
      </c>
      <c r="M40" s="4" t="str">
        <f>""</f>
        <v/>
      </c>
      <c r="N40" s="4" t="s">
        <v>34</v>
      </c>
      <c r="O40" s="3"/>
      <c r="P40" s="3"/>
      <c r="Q40" s="3"/>
      <c r="R40" s="4" t="s">
        <v>35</v>
      </c>
      <c r="S40" s="3"/>
      <c r="T40" s="4" t="str">
        <f>"174992-49"</f>
        <v>174992-49</v>
      </c>
      <c r="U40" s="4" t="str">
        <f>"01-114007"</f>
        <v>01-114007</v>
      </c>
      <c r="V40" s="4" t="str">
        <f>"1493194"</f>
        <v>1493194</v>
      </c>
      <c r="W40" s="4" t="s">
        <v>36</v>
      </c>
      <c r="X40" s="4" t="str">
        <f>"33592"</f>
        <v>33592</v>
      </c>
      <c r="Y40" s="4" t="str">
        <f>"DNB1-7 5TR"</f>
        <v>DNB1-7 5TR</v>
      </c>
      <c r="Z40" s="4" t="str">
        <f>""</f>
        <v/>
      </c>
      <c r="AA40" s="4" t="str">
        <f>""</f>
        <v/>
      </c>
      <c r="AB40" s="5">
        <v>43465</v>
      </c>
      <c r="AC40" s="4">
        <v>0</v>
      </c>
    </row>
    <row r="41" spans="1:29" ht="14.45" customHeight="1" x14ac:dyDescent="0.25">
      <c r="A41" s="4" t="s">
        <v>25</v>
      </c>
      <c r="B41" s="4" t="s">
        <v>139</v>
      </c>
      <c r="C41" s="4" t="s">
        <v>140</v>
      </c>
      <c r="D41" s="4" t="s">
        <v>28</v>
      </c>
      <c r="E41" s="4" t="s">
        <v>249</v>
      </c>
      <c r="F41" s="4" t="s">
        <v>250</v>
      </c>
      <c r="G41" s="4" t="s">
        <v>250</v>
      </c>
      <c r="H41" s="4" t="s">
        <v>251</v>
      </c>
      <c r="I41" s="4" t="s">
        <v>56</v>
      </c>
      <c r="J41" s="4" t="str">
        <f>"5895SB0002757"</f>
        <v>5895SB0002757</v>
      </c>
      <c r="K41" s="4" t="s">
        <v>57</v>
      </c>
      <c r="L41" s="4" t="str">
        <f>""</f>
        <v/>
      </c>
      <c r="M41" s="4" t="str">
        <f>""</f>
        <v/>
      </c>
      <c r="N41" s="4" t="s">
        <v>34</v>
      </c>
      <c r="O41" s="3"/>
      <c r="P41" s="3"/>
      <c r="Q41" s="3"/>
      <c r="R41" s="4" t="s">
        <v>35</v>
      </c>
      <c r="S41" s="3"/>
      <c r="T41" s="4" t="str">
        <f>"174992-49"</f>
        <v>174992-49</v>
      </c>
      <c r="U41" s="4" t="str">
        <f>"NCIA12038998"</f>
        <v>NCIA12038998</v>
      </c>
      <c r="V41" s="4" t="str">
        <f>"2093630"</f>
        <v>2093630</v>
      </c>
      <c r="W41" s="4" t="s">
        <v>36</v>
      </c>
      <c r="X41" s="4" t="str">
        <f>"02MQ7"</f>
        <v>02MQ7</v>
      </c>
      <c r="Y41" s="4" t="str">
        <f>"205578-134"</f>
        <v>205578-134</v>
      </c>
      <c r="Z41" s="4" t="str">
        <f>""</f>
        <v/>
      </c>
      <c r="AA41" s="4" t="str">
        <f>""</f>
        <v/>
      </c>
      <c r="AB41" s="5">
        <v>44041</v>
      </c>
      <c r="AC41" s="4">
        <v>0</v>
      </c>
    </row>
    <row r="42" spans="1:29" ht="14.45" customHeight="1" x14ac:dyDescent="0.25">
      <c r="A42" s="4" t="s">
        <v>25</v>
      </c>
      <c r="B42" s="4" t="s">
        <v>139</v>
      </c>
      <c r="C42" s="4" t="s">
        <v>140</v>
      </c>
      <c r="D42" s="4" t="s">
        <v>28</v>
      </c>
      <c r="E42" s="4" t="s">
        <v>249</v>
      </c>
      <c r="F42" s="4" t="s">
        <v>250</v>
      </c>
      <c r="G42" s="4" t="s">
        <v>250</v>
      </c>
      <c r="H42" s="4" t="s">
        <v>251</v>
      </c>
      <c r="I42" s="4" t="s">
        <v>56</v>
      </c>
      <c r="J42" s="4" t="str">
        <f>"5895SB0002757"</f>
        <v>5895SB0002757</v>
      </c>
      <c r="K42" s="4" t="s">
        <v>57</v>
      </c>
      <c r="L42" s="4" t="str">
        <f>""</f>
        <v/>
      </c>
      <c r="M42" s="4" t="str">
        <f>""</f>
        <v/>
      </c>
      <c r="N42" s="4" t="s">
        <v>34</v>
      </c>
      <c r="O42" s="3"/>
      <c r="P42" s="3"/>
      <c r="Q42" s="3"/>
      <c r="R42" s="4" t="s">
        <v>35</v>
      </c>
      <c r="S42" s="3"/>
      <c r="T42" s="4" t="str">
        <f>"174992-49"</f>
        <v>174992-49</v>
      </c>
      <c r="U42" s="4" t="str">
        <f>"NCIA12038999"</f>
        <v>NCIA12038999</v>
      </c>
      <c r="V42" s="4" t="str">
        <f>"2089894"</f>
        <v>2089894</v>
      </c>
      <c r="W42" s="4" t="s">
        <v>36</v>
      </c>
      <c r="X42" s="4" t="str">
        <f>"02MQ7"</f>
        <v>02MQ7</v>
      </c>
      <c r="Y42" s="4" t="str">
        <f>"205578-134"</f>
        <v>205578-134</v>
      </c>
      <c r="Z42" s="4" t="str">
        <f>""</f>
        <v/>
      </c>
      <c r="AA42" s="4" t="str">
        <f>""</f>
        <v/>
      </c>
      <c r="AB42" s="5">
        <v>44041</v>
      </c>
      <c r="AC42" s="4">
        <v>0</v>
      </c>
    </row>
    <row r="43" spans="1:29" ht="14.45" customHeight="1" x14ac:dyDescent="0.25">
      <c r="A43" s="4" t="s">
        <v>25</v>
      </c>
      <c r="B43" s="4" t="s">
        <v>139</v>
      </c>
      <c r="C43" s="4" t="s">
        <v>140</v>
      </c>
      <c r="D43" s="4" t="s">
        <v>28</v>
      </c>
      <c r="E43" s="4" t="s">
        <v>249</v>
      </c>
      <c r="F43" s="4" t="s">
        <v>250</v>
      </c>
      <c r="G43" s="4" t="s">
        <v>250</v>
      </c>
      <c r="H43" s="4" t="s">
        <v>251</v>
      </c>
      <c r="I43" s="4" t="s">
        <v>167</v>
      </c>
      <c r="J43" s="4" t="str">
        <f>"5895SB0002983"</f>
        <v>5895SB0002983</v>
      </c>
      <c r="K43" s="4" t="s">
        <v>168</v>
      </c>
      <c r="L43" s="4" t="str">
        <f>""</f>
        <v/>
      </c>
      <c r="M43" s="4" t="str">
        <f>""</f>
        <v/>
      </c>
      <c r="N43" s="4" t="s">
        <v>34</v>
      </c>
      <c r="O43" s="3"/>
      <c r="P43" s="3"/>
      <c r="Q43" s="3"/>
      <c r="R43" s="4" t="s">
        <v>35</v>
      </c>
      <c r="S43" s="3"/>
      <c r="T43" s="4" t="str">
        <f>"12721-500"</f>
        <v>12721-500</v>
      </c>
      <c r="U43" s="4" t="str">
        <f>"NCIA10245450"</f>
        <v>NCIA10245450</v>
      </c>
      <c r="V43" s="4" t="str">
        <f>"14927-001"</f>
        <v>14927-001</v>
      </c>
      <c r="W43" s="4" t="s">
        <v>36</v>
      </c>
      <c r="X43" s="4" t="str">
        <f>"02MQ7"</f>
        <v>02MQ7</v>
      </c>
      <c r="Y43" s="4" t="str">
        <f>"12721-500A"</f>
        <v>12721-500A</v>
      </c>
      <c r="Z43" s="4" t="str">
        <f>""</f>
        <v/>
      </c>
      <c r="AA43" s="4" t="str">
        <f>""</f>
        <v/>
      </c>
      <c r="AB43" s="5">
        <v>43465</v>
      </c>
      <c r="AC43" s="4">
        <v>0</v>
      </c>
    </row>
    <row r="44" spans="1:29" ht="14.45" customHeight="1" x14ac:dyDescent="0.25">
      <c r="A44" s="4" t="s">
        <v>25</v>
      </c>
      <c r="B44" s="4" t="s">
        <v>139</v>
      </c>
      <c r="C44" s="4" t="s">
        <v>140</v>
      </c>
      <c r="D44" s="4" t="s">
        <v>28</v>
      </c>
      <c r="E44" s="4" t="s">
        <v>249</v>
      </c>
      <c r="F44" s="4" t="s">
        <v>250</v>
      </c>
      <c r="G44" s="4" t="s">
        <v>250</v>
      </c>
      <c r="H44" s="4" t="s">
        <v>251</v>
      </c>
      <c r="I44" s="4" t="s">
        <v>59</v>
      </c>
      <c r="J44" s="4" t="str">
        <f>"5895SB0003531"</f>
        <v>5895SB0003531</v>
      </c>
      <c r="K44" s="4" t="s">
        <v>60</v>
      </c>
      <c r="L44" s="4" t="str">
        <f>""</f>
        <v/>
      </c>
      <c r="M44" s="4" t="str">
        <f>""</f>
        <v/>
      </c>
      <c r="N44" s="4" t="s">
        <v>34</v>
      </c>
      <c r="O44" s="3"/>
      <c r="P44" s="3"/>
      <c r="Q44" s="3"/>
      <c r="R44" s="4" t="s">
        <v>35</v>
      </c>
      <c r="S44" s="3"/>
      <c r="T44" s="4" t="str">
        <f>"5985015209792"</f>
        <v>5985015209792</v>
      </c>
      <c r="U44" s="4" t="str">
        <f>"03-119631"</f>
        <v>03-119631</v>
      </c>
      <c r="V44" s="4" t="str">
        <f>"VCL12091049"</f>
        <v>VCL12091049</v>
      </c>
      <c r="W44" s="4" t="s">
        <v>36</v>
      </c>
      <c r="X44" s="4" t="str">
        <f>"02MQ7"</f>
        <v>02MQ7</v>
      </c>
      <c r="Y44" s="4" t="str">
        <f>"99-261-3004-03"</f>
        <v>99-261-3004-03</v>
      </c>
      <c r="Z44" s="4" t="str">
        <f>""</f>
        <v/>
      </c>
      <c r="AA44" s="4" t="str">
        <f>""</f>
        <v/>
      </c>
      <c r="AB44" s="5">
        <v>43465</v>
      </c>
      <c r="AC44" s="4">
        <v>0</v>
      </c>
    </row>
    <row r="45" spans="1:29" ht="14.45" customHeight="1" x14ac:dyDescent="0.25">
      <c r="A45" s="4" t="s">
        <v>25</v>
      </c>
      <c r="B45" s="4" t="s">
        <v>139</v>
      </c>
      <c r="C45" s="4" t="s">
        <v>140</v>
      </c>
      <c r="D45" s="4" t="s">
        <v>28</v>
      </c>
      <c r="E45" s="4" t="s">
        <v>249</v>
      </c>
      <c r="F45" s="4" t="s">
        <v>250</v>
      </c>
      <c r="G45" s="4" t="s">
        <v>250</v>
      </c>
      <c r="H45" s="4" t="s">
        <v>251</v>
      </c>
      <c r="I45" s="4" t="s">
        <v>61</v>
      </c>
      <c r="J45" s="4" t="str">
        <f>"5895SB0003672"</f>
        <v>5895SB0003672</v>
      </c>
      <c r="K45" s="4" t="s">
        <v>62</v>
      </c>
      <c r="L45" s="4" t="str">
        <f>""</f>
        <v/>
      </c>
      <c r="M45" s="4" t="str">
        <f>""</f>
        <v/>
      </c>
      <c r="N45" s="4" t="s">
        <v>34</v>
      </c>
      <c r="O45" s="3"/>
      <c r="P45" s="3"/>
      <c r="Q45" s="3"/>
      <c r="R45" s="4" t="s">
        <v>35</v>
      </c>
      <c r="S45" s="3"/>
      <c r="T45" s="4" t="str">
        <f>"5895015774999"</f>
        <v>5895015774999</v>
      </c>
      <c r="U45" s="4" t="str">
        <f>"01-114002"</f>
        <v>01-114002</v>
      </c>
      <c r="V45" s="4" t="str">
        <f>"1479990"</f>
        <v>1479990</v>
      </c>
      <c r="W45" s="4" t="s">
        <v>36</v>
      </c>
      <c r="X45" s="4" t="str">
        <f>"33592"</f>
        <v>33592</v>
      </c>
      <c r="Y45" s="4" t="str">
        <f>"RSU-S-TR"</f>
        <v>RSU-S-TR</v>
      </c>
      <c r="Z45" s="4" t="str">
        <f>""</f>
        <v/>
      </c>
      <c r="AA45" s="4" t="str">
        <f>""</f>
        <v/>
      </c>
      <c r="AB45" s="5">
        <v>43465</v>
      </c>
      <c r="AC45" s="4">
        <v>0</v>
      </c>
    </row>
    <row r="46" spans="1:29" ht="14.45" customHeight="1" x14ac:dyDescent="0.25">
      <c r="A46" s="4" t="s">
        <v>25</v>
      </c>
      <c r="B46" s="4" t="s">
        <v>139</v>
      </c>
      <c r="C46" s="4" t="s">
        <v>140</v>
      </c>
      <c r="D46" s="4" t="s">
        <v>28</v>
      </c>
      <c r="E46" s="4" t="s">
        <v>249</v>
      </c>
      <c r="F46" s="4" t="s">
        <v>250</v>
      </c>
      <c r="G46" s="4" t="s">
        <v>250</v>
      </c>
      <c r="H46" s="4" t="s">
        <v>251</v>
      </c>
      <c r="I46" s="4" t="s">
        <v>61</v>
      </c>
      <c r="J46" s="4" t="str">
        <f>"5895SB0003672"</f>
        <v>5895SB0003672</v>
      </c>
      <c r="K46" s="4" t="s">
        <v>62</v>
      </c>
      <c r="L46" s="4" t="str">
        <f>""</f>
        <v/>
      </c>
      <c r="M46" s="4" t="str">
        <f>""</f>
        <v/>
      </c>
      <c r="N46" s="4" t="s">
        <v>34</v>
      </c>
      <c r="O46" s="3"/>
      <c r="P46" s="3"/>
      <c r="Q46" s="3"/>
      <c r="R46" s="4" t="s">
        <v>35</v>
      </c>
      <c r="S46" s="3"/>
      <c r="T46" s="4" t="str">
        <f>"5895015774999"</f>
        <v>5895015774999</v>
      </c>
      <c r="U46" s="4" t="str">
        <f>"01-114003"</f>
        <v>01-114003</v>
      </c>
      <c r="V46" s="4" t="str">
        <f>"1491941"</f>
        <v>1491941</v>
      </c>
      <c r="W46" s="4" t="s">
        <v>36</v>
      </c>
      <c r="X46" s="4" t="str">
        <f>"33592"</f>
        <v>33592</v>
      </c>
      <c r="Y46" s="4" t="str">
        <f>"RSU-S-TR"</f>
        <v>RSU-S-TR</v>
      </c>
      <c r="Z46" s="4" t="str">
        <f>""</f>
        <v/>
      </c>
      <c r="AA46" s="4" t="str">
        <f>""</f>
        <v/>
      </c>
      <c r="AB46" s="5">
        <v>43465</v>
      </c>
      <c r="AC46" s="4">
        <v>0</v>
      </c>
    </row>
    <row r="47" spans="1:29" ht="14.45" customHeight="1" x14ac:dyDescent="0.25">
      <c r="A47" s="4" t="s">
        <v>25</v>
      </c>
      <c r="B47" s="4" t="s">
        <v>139</v>
      </c>
      <c r="C47" s="4" t="s">
        <v>140</v>
      </c>
      <c r="D47" s="4" t="s">
        <v>28</v>
      </c>
      <c r="E47" s="4" t="s">
        <v>249</v>
      </c>
      <c r="F47" s="4" t="s">
        <v>250</v>
      </c>
      <c r="G47" s="4" t="s">
        <v>250</v>
      </c>
      <c r="H47" s="4" t="s">
        <v>251</v>
      </c>
      <c r="I47" s="4" t="s">
        <v>61</v>
      </c>
      <c r="J47" s="4" t="str">
        <f>"5895SB0003672"</f>
        <v>5895SB0003672</v>
      </c>
      <c r="K47" s="4" t="s">
        <v>62</v>
      </c>
      <c r="L47" s="4" t="str">
        <f>""</f>
        <v/>
      </c>
      <c r="M47" s="4" t="str">
        <f>""</f>
        <v/>
      </c>
      <c r="N47" s="4" t="s">
        <v>34</v>
      </c>
      <c r="O47" s="3"/>
      <c r="P47" s="3"/>
      <c r="Q47" s="3"/>
      <c r="R47" s="4" t="s">
        <v>35</v>
      </c>
      <c r="S47" s="3"/>
      <c r="T47" s="4" t="str">
        <f>"5895015774999"</f>
        <v>5895015774999</v>
      </c>
      <c r="U47" s="4" t="str">
        <f>"NCIA12038995"</f>
        <v>NCIA12038995</v>
      </c>
      <c r="V47" s="4" t="str">
        <f>"2083661"</f>
        <v>2083661</v>
      </c>
      <c r="W47" s="4" t="s">
        <v>36</v>
      </c>
      <c r="X47" s="4" t="str">
        <f>"02MQ7"</f>
        <v>02MQ7</v>
      </c>
      <c r="Y47" s="4" t="str">
        <f>"161105-1"</f>
        <v>161105-1</v>
      </c>
      <c r="Z47" s="4" t="str">
        <f>""</f>
        <v/>
      </c>
      <c r="AA47" s="4" t="str">
        <f>""</f>
        <v/>
      </c>
      <c r="AB47" s="5">
        <v>44041</v>
      </c>
      <c r="AC47" s="4">
        <v>0</v>
      </c>
    </row>
    <row r="48" spans="1:29" ht="14.45" customHeight="1" x14ac:dyDescent="0.25">
      <c r="A48" s="4" t="s">
        <v>25</v>
      </c>
      <c r="B48" s="4" t="s">
        <v>139</v>
      </c>
      <c r="C48" s="4" t="s">
        <v>140</v>
      </c>
      <c r="D48" s="4" t="s">
        <v>28</v>
      </c>
      <c r="E48" s="4" t="s">
        <v>249</v>
      </c>
      <c r="F48" s="4" t="s">
        <v>250</v>
      </c>
      <c r="G48" s="4" t="s">
        <v>250</v>
      </c>
      <c r="H48" s="4" t="s">
        <v>251</v>
      </c>
      <c r="I48" s="4" t="s">
        <v>61</v>
      </c>
      <c r="J48" s="4" t="str">
        <f>"5895SB0003672"</f>
        <v>5895SB0003672</v>
      </c>
      <c r="K48" s="4" t="s">
        <v>62</v>
      </c>
      <c r="L48" s="4" t="str">
        <f>""</f>
        <v/>
      </c>
      <c r="M48" s="4" t="str">
        <f>""</f>
        <v/>
      </c>
      <c r="N48" s="4" t="s">
        <v>34</v>
      </c>
      <c r="O48" s="3"/>
      <c r="P48" s="3"/>
      <c r="Q48" s="3"/>
      <c r="R48" s="4" t="s">
        <v>35</v>
      </c>
      <c r="S48" s="3"/>
      <c r="T48" s="4" t="str">
        <f>"5895015774999"</f>
        <v>5895015774999</v>
      </c>
      <c r="U48" s="4" t="str">
        <f>"NCIA12039000"</f>
        <v>NCIA12039000</v>
      </c>
      <c r="V48" s="4" t="str">
        <f>"2084459"</f>
        <v>2084459</v>
      </c>
      <c r="W48" s="4" t="s">
        <v>36</v>
      </c>
      <c r="X48" s="4" t="str">
        <f>"02MQ7"</f>
        <v>02MQ7</v>
      </c>
      <c r="Y48" s="4" t="str">
        <f>"161105-1"</f>
        <v>161105-1</v>
      </c>
      <c r="Z48" s="4" t="str">
        <f>""</f>
        <v/>
      </c>
      <c r="AA48" s="4" t="str">
        <f>""</f>
        <v/>
      </c>
      <c r="AB48" s="5">
        <v>44041</v>
      </c>
      <c r="AC48" s="4">
        <v>0</v>
      </c>
    </row>
    <row r="49" spans="1:29" ht="14.45" customHeight="1" x14ac:dyDescent="0.25">
      <c r="A49" s="4" t="s">
        <v>25</v>
      </c>
      <c r="B49" s="4" t="s">
        <v>139</v>
      </c>
      <c r="C49" s="4" t="s">
        <v>140</v>
      </c>
      <c r="D49" s="4" t="s">
        <v>28</v>
      </c>
      <c r="E49" s="4" t="s">
        <v>249</v>
      </c>
      <c r="F49" s="4" t="s">
        <v>250</v>
      </c>
      <c r="G49" s="4" t="s">
        <v>250</v>
      </c>
      <c r="H49" s="4" t="s">
        <v>251</v>
      </c>
      <c r="I49" s="4" t="s">
        <v>42</v>
      </c>
      <c r="J49" s="4" t="str">
        <f>"5895SB0004003"</f>
        <v>5895SB0004003</v>
      </c>
      <c r="K49" s="4" t="s">
        <v>65</v>
      </c>
      <c r="L49" s="4" t="str">
        <f>""</f>
        <v/>
      </c>
      <c r="M49" s="4" t="str">
        <f>""</f>
        <v/>
      </c>
      <c r="N49" s="4" t="s">
        <v>34</v>
      </c>
      <c r="O49" s="3"/>
      <c r="P49" s="3"/>
      <c r="Q49" s="3"/>
      <c r="R49" s="4" t="s">
        <v>35</v>
      </c>
      <c r="S49" s="3"/>
      <c r="T49" s="4" t="str">
        <f>"5975145561174"</f>
        <v>5975145561174</v>
      </c>
      <c r="U49" s="4" t="str">
        <f>"03-112981"</f>
        <v>03-112981</v>
      </c>
      <c r="V49" s="4" t="str">
        <f>"61936040AA00015"</f>
        <v>61936040AA00015</v>
      </c>
      <c r="W49" s="4" t="s">
        <v>36</v>
      </c>
      <c r="X49" s="4" t="str">
        <f>"F0057"</f>
        <v>F0057</v>
      </c>
      <c r="Y49" s="4" t="str">
        <f>"61936040AA"</f>
        <v>61936040AA</v>
      </c>
      <c r="Z49" s="4" t="str">
        <f>""</f>
        <v/>
      </c>
      <c r="AA49" s="4" t="str">
        <f>""</f>
        <v/>
      </c>
      <c r="AB49" s="5">
        <v>43465</v>
      </c>
      <c r="AC49" s="4">
        <v>0</v>
      </c>
    </row>
    <row r="50" spans="1:29" ht="14.45" customHeight="1" x14ac:dyDescent="0.25">
      <c r="A50" s="4" t="s">
        <v>25</v>
      </c>
      <c r="B50" s="4" t="s">
        <v>139</v>
      </c>
      <c r="C50" s="4" t="s">
        <v>140</v>
      </c>
      <c r="D50" s="4" t="s">
        <v>28</v>
      </c>
      <c r="E50" s="4" t="s">
        <v>249</v>
      </c>
      <c r="F50" s="4" t="s">
        <v>250</v>
      </c>
      <c r="G50" s="4" t="s">
        <v>250</v>
      </c>
      <c r="H50" s="4" t="s">
        <v>251</v>
      </c>
      <c r="I50" s="4" t="s">
        <v>66</v>
      </c>
      <c r="J50" s="4" t="str">
        <f>"5895SB0016928"</f>
        <v>5895SB0016928</v>
      </c>
      <c r="K50" s="4" t="s">
        <v>67</v>
      </c>
      <c r="L50" s="4" t="str">
        <f>""</f>
        <v/>
      </c>
      <c r="M50" s="4" t="str">
        <f>""</f>
        <v/>
      </c>
      <c r="N50" s="4" t="s">
        <v>34</v>
      </c>
      <c r="O50" s="3"/>
      <c r="P50" s="3"/>
      <c r="Q50" s="3"/>
      <c r="R50" s="4" t="s">
        <v>35</v>
      </c>
      <c r="S50" s="3"/>
      <c r="T50" s="4" t="str">
        <f>"10537-05028"</f>
        <v>10537-05028</v>
      </c>
      <c r="U50" s="4" t="str">
        <f>"01-137817"</f>
        <v>01-137817</v>
      </c>
      <c r="V50" s="4" t="str">
        <f>""</f>
        <v/>
      </c>
      <c r="W50" s="4" t="s">
        <v>36</v>
      </c>
      <c r="X50" s="4" t="str">
        <f>"02MQ7"</f>
        <v>02MQ7</v>
      </c>
      <c r="Y50" s="4" t="str">
        <f>"10537-05028"</f>
        <v>10537-05028</v>
      </c>
      <c r="Z50" s="4" t="str">
        <f>""</f>
        <v/>
      </c>
      <c r="AA50" s="4" t="str">
        <f>""</f>
        <v/>
      </c>
      <c r="AB50" s="5">
        <v>43465</v>
      </c>
      <c r="AC50" s="4">
        <v>0</v>
      </c>
    </row>
    <row r="51" spans="1:29" ht="14.45" customHeight="1" x14ac:dyDescent="0.25">
      <c r="A51" s="4" t="s">
        <v>25</v>
      </c>
      <c r="B51" s="4" t="s">
        <v>139</v>
      </c>
      <c r="C51" s="4" t="s">
        <v>140</v>
      </c>
      <c r="D51" s="4" t="s">
        <v>28</v>
      </c>
      <c r="E51" s="4" t="s">
        <v>249</v>
      </c>
      <c r="F51" s="4" t="s">
        <v>250</v>
      </c>
      <c r="G51" s="4" t="s">
        <v>250</v>
      </c>
      <c r="H51" s="4" t="s">
        <v>251</v>
      </c>
      <c r="I51" s="4" t="s">
        <v>32</v>
      </c>
      <c r="J51" s="4" t="str">
        <f>"5895SB0017764"</f>
        <v>5895SB0017764</v>
      </c>
      <c r="K51" s="4" t="s">
        <v>269</v>
      </c>
      <c r="L51" s="4" t="str">
        <f>""</f>
        <v/>
      </c>
      <c r="M51" s="4" t="str">
        <f>""</f>
        <v/>
      </c>
      <c r="N51" s="4" t="s">
        <v>34</v>
      </c>
      <c r="O51" s="3"/>
      <c r="P51" s="3"/>
      <c r="Q51" s="3"/>
      <c r="R51" s="4" t="s">
        <v>35</v>
      </c>
      <c r="S51" s="3"/>
      <c r="T51" s="4" t="str">
        <f>"RQ14ECK-VFD-14"</f>
        <v>RQ14ECK-VFD-14</v>
      </c>
      <c r="U51" s="4" t="str">
        <f>"01-114137"</f>
        <v>01-114137</v>
      </c>
      <c r="V51" s="4" t="str">
        <f>"01199752"</f>
        <v>01199752</v>
      </c>
      <c r="W51" s="4" t="s">
        <v>36</v>
      </c>
      <c r="X51" s="4" t="str">
        <f>"0NJ18"</f>
        <v>0NJ18</v>
      </c>
      <c r="Y51" s="4" t="str">
        <f>"RQ14ECK-VFD-14"</f>
        <v>RQ14ECK-VFD-14</v>
      </c>
      <c r="Z51" s="4" t="str">
        <f>""</f>
        <v/>
      </c>
      <c r="AA51" s="4" t="str">
        <f>""</f>
        <v/>
      </c>
      <c r="AB51" s="5">
        <v>43465</v>
      </c>
      <c r="AC51" s="4">
        <v>0</v>
      </c>
    </row>
    <row r="52" spans="1:29" ht="14.45" customHeight="1" x14ac:dyDescent="0.25">
      <c r="A52" s="4" t="s">
        <v>25</v>
      </c>
      <c r="B52" s="4" t="s">
        <v>139</v>
      </c>
      <c r="C52" s="4" t="s">
        <v>140</v>
      </c>
      <c r="D52" s="4" t="s">
        <v>28</v>
      </c>
      <c r="E52" s="4" t="s">
        <v>249</v>
      </c>
      <c r="F52" s="4" t="s">
        <v>250</v>
      </c>
      <c r="G52" s="4" t="s">
        <v>250</v>
      </c>
      <c r="H52" s="4" t="s">
        <v>251</v>
      </c>
      <c r="I52" s="4" t="s">
        <v>32</v>
      </c>
      <c r="J52" s="4" t="str">
        <f>"5895SB0017764"</f>
        <v>5895SB0017764</v>
      </c>
      <c r="K52" s="4" t="s">
        <v>269</v>
      </c>
      <c r="L52" s="4" t="str">
        <f>""</f>
        <v/>
      </c>
      <c r="M52" s="4" t="str">
        <f>""</f>
        <v/>
      </c>
      <c r="N52" s="4" t="s">
        <v>34</v>
      </c>
      <c r="O52" s="3"/>
      <c r="P52" s="3"/>
      <c r="Q52" s="3"/>
      <c r="R52" s="4" t="s">
        <v>35</v>
      </c>
      <c r="S52" s="3"/>
      <c r="T52" s="4" t="str">
        <f>"RQ14ECK-VFD-14"</f>
        <v>RQ14ECK-VFD-14</v>
      </c>
      <c r="U52" s="4" t="str">
        <f>"01-114138"</f>
        <v>01-114138</v>
      </c>
      <c r="V52" s="4" t="str">
        <f>"01199756"</f>
        <v>01199756</v>
      </c>
      <c r="W52" s="4" t="s">
        <v>36</v>
      </c>
      <c r="X52" s="4" t="str">
        <f>"0NJ18"</f>
        <v>0NJ18</v>
      </c>
      <c r="Y52" s="4" t="str">
        <f>"RQ14ECK-VFD-14"</f>
        <v>RQ14ECK-VFD-14</v>
      </c>
      <c r="Z52" s="4" t="str">
        <f>""</f>
        <v/>
      </c>
      <c r="AA52" s="4" t="str">
        <f>""</f>
        <v/>
      </c>
      <c r="AB52" s="5">
        <v>43465</v>
      </c>
      <c r="AC52" s="4">
        <v>0</v>
      </c>
    </row>
    <row r="53" spans="1:29" ht="14.45" customHeight="1" x14ac:dyDescent="0.25">
      <c r="A53" s="4" t="s">
        <v>25</v>
      </c>
      <c r="B53" s="4" t="s">
        <v>139</v>
      </c>
      <c r="C53" s="4" t="s">
        <v>140</v>
      </c>
      <c r="D53" s="4" t="s">
        <v>28</v>
      </c>
      <c r="E53" s="4" t="s">
        <v>249</v>
      </c>
      <c r="F53" s="4" t="s">
        <v>250</v>
      </c>
      <c r="G53" s="4" t="s">
        <v>250</v>
      </c>
      <c r="H53" s="4" t="s">
        <v>251</v>
      </c>
      <c r="I53" s="4" t="s">
        <v>32</v>
      </c>
      <c r="J53" s="4" t="str">
        <f>"5895SB0017764"</f>
        <v>5895SB0017764</v>
      </c>
      <c r="K53" s="4" t="s">
        <v>269</v>
      </c>
      <c r="L53" s="4" t="str">
        <f>""</f>
        <v/>
      </c>
      <c r="M53" s="4" t="str">
        <f>""</f>
        <v/>
      </c>
      <c r="N53" s="4" t="s">
        <v>34</v>
      </c>
      <c r="O53" s="3"/>
      <c r="P53" s="3"/>
      <c r="Q53" s="3"/>
      <c r="R53" s="4" t="s">
        <v>35</v>
      </c>
      <c r="S53" s="3"/>
      <c r="T53" s="4" t="str">
        <f>"RQ14ECK-VFD-14"</f>
        <v>RQ14ECK-VFD-14</v>
      </c>
      <c r="U53" s="4" t="str">
        <f>"01-114139"</f>
        <v>01-114139</v>
      </c>
      <c r="V53" s="4" t="str">
        <f>"01199758"</f>
        <v>01199758</v>
      </c>
      <c r="W53" s="4" t="s">
        <v>36</v>
      </c>
      <c r="X53" s="4" t="str">
        <f>"0NJ18"</f>
        <v>0NJ18</v>
      </c>
      <c r="Y53" s="4" t="str">
        <f>"RQ14ECK-VFD-14"</f>
        <v>RQ14ECK-VFD-14</v>
      </c>
      <c r="Z53" s="4" t="str">
        <f>""</f>
        <v/>
      </c>
      <c r="AA53" s="4" t="str">
        <f>""</f>
        <v/>
      </c>
      <c r="AB53" s="5">
        <v>43465</v>
      </c>
      <c r="AC53" s="4">
        <v>0</v>
      </c>
    </row>
    <row r="54" spans="1:29" ht="14.45" customHeight="1" x14ac:dyDescent="0.25">
      <c r="A54" s="4" t="s">
        <v>25</v>
      </c>
      <c r="B54" s="4" t="s">
        <v>139</v>
      </c>
      <c r="C54" s="4" t="s">
        <v>140</v>
      </c>
      <c r="D54" s="4" t="s">
        <v>28</v>
      </c>
      <c r="E54" s="4" t="s">
        <v>249</v>
      </c>
      <c r="F54" s="4" t="s">
        <v>250</v>
      </c>
      <c r="G54" s="4" t="s">
        <v>250</v>
      </c>
      <c r="H54" s="4" t="s">
        <v>251</v>
      </c>
      <c r="I54" s="4" t="s">
        <v>68</v>
      </c>
      <c r="J54" s="4" t="str">
        <f>"5895SB0039086"</f>
        <v>5895SB0039086</v>
      </c>
      <c r="K54" s="4" t="s">
        <v>69</v>
      </c>
      <c r="L54" s="4" t="str">
        <f>""</f>
        <v/>
      </c>
      <c r="M54" s="4" t="str">
        <f>""</f>
        <v/>
      </c>
      <c r="N54" s="4" t="s">
        <v>34</v>
      </c>
      <c r="O54" s="3"/>
      <c r="P54" s="3"/>
      <c r="Q54" s="3"/>
      <c r="R54" s="4" t="s">
        <v>35</v>
      </c>
      <c r="S54" s="3"/>
      <c r="T54" s="4" t="str">
        <f>""</f>
        <v/>
      </c>
      <c r="U54" s="4" t="str">
        <f>"NCIA10371858"</f>
        <v>NCIA10371858</v>
      </c>
      <c r="V54" s="4" t="str">
        <f>"5731002"</f>
        <v>5731002</v>
      </c>
      <c r="W54" s="4" t="s">
        <v>36</v>
      </c>
      <c r="X54" s="4" t="str">
        <f>"0VMZ0"</f>
        <v>0VMZ0</v>
      </c>
      <c r="Y54" s="4" t="str">
        <f>"YSS.00263"</f>
        <v>YSS.00263</v>
      </c>
      <c r="Z54" s="4" t="str">
        <f>""</f>
        <v/>
      </c>
      <c r="AA54" s="4" t="str">
        <f>""</f>
        <v/>
      </c>
      <c r="AB54" s="5">
        <v>43465</v>
      </c>
      <c r="AC54" s="4">
        <v>0</v>
      </c>
    </row>
    <row r="55" spans="1:29" ht="14.45" customHeight="1" x14ac:dyDescent="0.25">
      <c r="A55" s="4" t="s">
        <v>25</v>
      </c>
      <c r="B55" s="4" t="s">
        <v>139</v>
      </c>
      <c r="C55" s="4" t="s">
        <v>140</v>
      </c>
      <c r="D55" s="4" t="s">
        <v>28</v>
      </c>
      <c r="E55" s="4" t="s">
        <v>249</v>
      </c>
      <c r="F55" s="4" t="s">
        <v>250</v>
      </c>
      <c r="G55" s="4" t="s">
        <v>250</v>
      </c>
      <c r="H55" s="4" t="s">
        <v>251</v>
      </c>
      <c r="I55" s="4" t="s">
        <v>70</v>
      </c>
      <c r="J55" s="4" t="str">
        <f>"5895SB0042339"</f>
        <v>5895SB0042339</v>
      </c>
      <c r="K55" s="4" t="s">
        <v>71</v>
      </c>
      <c r="L55" s="4" t="str">
        <f>""</f>
        <v/>
      </c>
      <c r="M55" s="4" t="str">
        <f>""</f>
        <v/>
      </c>
      <c r="N55" s="4" t="s">
        <v>34</v>
      </c>
      <c r="O55" s="3"/>
      <c r="P55" s="3"/>
      <c r="Q55" s="3"/>
      <c r="R55" s="4" t="s">
        <v>35</v>
      </c>
      <c r="S55" s="3"/>
      <c r="T55" s="4" t="str">
        <f>""</f>
        <v/>
      </c>
      <c r="U55" s="4" t="str">
        <f>"NCIA10311359"</f>
        <v>NCIA10311359</v>
      </c>
      <c r="V55" s="4" t="str">
        <f>"TSGT01-OLAX"</f>
        <v>TSGT01-OLAX</v>
      </c>
      <c r="W55" s="4" t="s">
        <v>36</v>
      </c>
      <c r="X55" s="4" t="str">
        <f>"MC1207"</f>
        <v>MC1207</v>
      </c>
      <c r="Y55" s="4" t="str">
        <f>"TSGT3-UTSGT RMB"</f>
        <v>TSGT3-UTSGT RMB</v>
      </c>
      <c r="Z55" s="4" t="str">
        <f>""</f>
        <v/>
      </c>
      <c r="AA55" s="4" t="str">
        <f>""</f>
        <v/>
      </c>
      <c r="AB55" s="5">
        <v>43465</v>
      </c>
      <c r="AC55" s="4">
        <v>0</v>
      </c>
    </row>
    <row r="56" spans="1:29" ht="14.45" customHeight="1" x14ac:dyDescent="0.25">
      <c r="A56" s="4" t="s">
        <v>25</v>
      </c>
      <c r="B56" s="4" t="s">
        <v>139</v>
      </c>
      <c r="C56" s="4" t="s">
        <v>140</v>
      </c>
      <c r="D56" s="4" t="s">
        <v>28</v>
      </c>
      <c r="E56" s="4" t="s">
        <v>249</v>
      </c>
      <c r="F56" s="4" t="s">
        <v>250</v>
      </c>
      <c r="G56" s="4" t="s">
        <v>250</v>
      </c>
      <c r="H56" s="4" t="s">
        <v>251</v>
      </c>
      <c r="I56" s="4" t="s">
        <v>37</v>
      </c>
      <c r="J56" s="4" t="str">
        <f>"5895SB0042509"</f>
        <v>5895SB0042509</v>
      </c>
      <c r="K56" s="4" t="s">
        <v>270</v>
      </c>
      <c r="L56" s="4" t="str">
        <f>""</f>
        <v/>
      </c>
      <c r="M56" s="4" t="str">
        <f>""</f>
        <v/>
      </c>
      <c r="N56" s="4" t="s">
        <v>34</v>
      </c>
      <c r="O56" s="3"/>
      <c r="P56" s="3"/>
      <c r="Q56" s="3"/>
      <c r="R56" s="4" t="s">
        <v>35</v>
      </c>
      <c r="S56" s="3"/>
      <c r="T56" s="4" t="str">
        <f>""</f>
        <v/>
      </c>
      <c r="U56" s="4" t="str">
        <f>"NCIA12039006"</f>
        <v>NCIA12039006</v>
      </c>
      <c r="V56" s="4" t="str">
        <f>""</f>
        <v/>
      </c>
      <c r="W56" s="4" t="s">
        <v>36</v>
      </c>
      <c r="X56" s="4" t="str">
        <f t="shared" ref="X56:X61" si="3">"02MQ7"</f>
        <v>02MQ7</v>
      </c>
      <c r="Y56" s="4" t="str">
        <f>"11008-05011"</f>
        <v>11008-05011</v>
      </c>
      <c r="Z56" s="4" t="str">
        <f>""</f>
        <v/>
      </c>
      <c r="AA56" s="4" t="str">
        <f>""</f>
        <v/>
      </c>
      <c r="AB56" s="5">
        <v>44041</v>
      </c>
      <c r="AC56" s="4">
        <v>0</v>
      </c>
    </row>
    <row r="57" spans="1:29" ht="14.45" customHeight="1" x14ac:dyDescent="0.25">
      <c r="A57" s="4" t="s">
        <v>25</v>
      </c>
      <c r="B57" s="4" t="s">
        <v>139</v>
      </c>
      <c r="C57" s="4" t="s">
        <v>140</v>
      </c>
      <c r="D57" s="4" t="s">
        <v>28</v>
      </c>
      <c r="E57" s="4" t="s">
        <v>249</v>
      </c>
      <c r="F57" s="4" t="s">
        <v>250</v>
      </c>
      <c r="G57" s="4" t="s">
        <v>250</v>
      </c>
      <c r="H57" s="4" t="s">
        <v>251</v>
      </c>
      <c r="I57" s="4" t="s">
        <v>37</v>
      </c>
      <c r="J57" s="4" t="str">
        <f>"5895SB0058614"</f>
        <v>5895SB0058614</v>
      </c>
      <c r="K57" s="4" t="s">
        <v>271</v>
      </c>
      <c r="L57" s="4" t="str">
        <f>""</f>
        <v/>
      </c>
      <c r="M57" s="4" t="str">
        <f>""</f>
        <v/>
      </c>
      <c r="N57" s="4" t="s">
        <v>34</v>
      </c>
      <c r="O57" s="3"/>
      <c r="P57" s="3"/>
      <c r="Q57" s="3"/>
      <c r="R57" s="4" t="s">
        <v>35</v>
      </c>
      <c r="S57" s="3"/>
      <c r="T57" s="4" t="str">
        <f>""</f>
        <v/>
      </c>
      <c r="U57" s="4" t="str">
        <f>"NCIA12038991"</f>
        <v>NCIA12038991</v>
      </c>
      <c r="V57" s="4" t="str">
        <f>""</f>
        <v/>
      </c>
      <c r="W57" s="4" t="s">
        <v>36</v>
      </c>
      <c r="X57" s="4" t="str">
        <f t="shared" si="3"/>
        <v>02MQ7</v>
      </c>
      <c r="Y57" s="4" t="str">
        <f>"11137-05059"</f>
        <v>11137-05059</v>
      </c>
      <c r="Z57" s="4" t="str">
        <f>""</f>
        <v/>
      </c>
      <c r="AA57" s="4" t="str">
        <f>""</f>
        <v/>
      </c>
      <c r="AB57" s="5">
        <v>44041</v>
      </c>
      <c r="AC57" s="4">
        <v>0</v>
      </c>
    </row>
    <row r="58" spans="1:29" ht="14.45" customHeight="1" x14ac:dyDescent="0.25">
      <c r="A58" s="4" t="s">
        <v>25</v>
      </c>
      <c r="B58" s="4" t="s">
        <v>139</v>
      </c>
      <c r="C58" s="4" t="s">
        <v>140</v>
      </c>
      <c r="D58" s="4" t="s">
        <v>28</v>
      </c>
      <c r="E58" s="4" t="s">
        <v>249</v>
      </c>
      <c r="F58" s="4" t="s">
        <v>250</v>
      </c>
      <c r="G58" s="4" t="s">
        <v>250</v>
      </c>
      <c r="H58" s="4" t="s">
        <v>251</v>
      </c>
      <c r="I58" s="4" t="s">
        <v>37</v>
      </c>
      <c r="J58" s="4" t="str">
        <f>"5895SB0058615"</f>
        <v>5895SB0058615</v>
      </c>
      <c r="K58" s="4" t="s">
        <v>272</v>
      </c>
      <c r="L58" s="4" t="str">
        <f>""</f>
        <v/>
      </c>
      <c r="M58" s="4" t="str">
        <f>""</f>
        <v/>
      </c>
      <c r="N58" s="4" t="s">
        <v>34</v>
      </c>
      <c r="O58" s="3"/>
      <c r="P58" s="3"/>
      <c r="Q58" s="3"/>
      <c r="R58" s="4" t="s">
        <v>35</v>
      </c>
      <c r="S58" s="3"/>
      <c r="T58" s="4" t="str">
        <f>""</f>
        <v/>
      </c>
      <c r="U58" s="4" t="str">
        <f>"NCIA12038985"</f>
        <v>NCIA12038985</v>
      </c>
      <c r="V58" s="4" t="str">
        <f>"1004469"</f>
        <v>1004469</v>
      </c>
      <c r="W58" s="4" t="s">
        <v>36</v>
      </c>
      <c r="X58" s="4" t="str">
        <f t="shared" si="3"/>
        <v>02MQ7</v>
      </c>
      <c r="Y58" s="4" t="str">
        <f>"11137-05006-002"</f>
        <v>11137-05006-002</v>
      </c>
      <c r="Z58" s="4" t="str">
        <f>""</f>
        <v/>
      </c>
      <c r="AA58" s="4" t="str">
        <f>""</f>
        <v/>
      </c>
      <c r="AB58" s="5">
        <v>44041</v>
      </c>
      <c r="AC58" s="4">
        <v>0</v>
      </c>
    </row>
    <row r="59" spans="1:29" ht="14.45" customHeight="1" x14ac:dyDescent="0.25">
      <c r="A59" s="4" t="s">
        <v>25</v>
      </c>
      <c r="B59" s="4" t="s">
        <v>139</v>
      </c>
      <c r="C59" s="4" t="s">
        <v>140</v>
      </c>
      <c r="D59" s="4" t="s">
        <v>28</v>
      </c>
      <c r="E59" s="4" t="s">
        <v>249</v>
      </c>
      <c r="F59" s="4" t="s">
        <v>250</v>
      </c>
      <c r="G59" s="4" t="s">
        <v>250</v>
      </c>
      <c r="H59" s="4" t="s">
        <v>251</v>
      </c>
      <c r="I59" s="4" t="s">
        <v>59</v>
      </c>
      <c r="J59" s="4" t="str">
        <f>"5915SB0003483"</f>
        <v>5915SB0003483</v>
      </c>
      <c r="K59" s="4" t="s">
        <v>273</v>
      </c>
      <c r="L59" s="4" t="str">
        <f>""</f>
        <v/>
      </c>
      <c r="M59" s="4" t="str">
        <f>""</f>
        <v/>
      </c>
      <c r="N59" s="4" t="s">
        <v>34</v>
      </c>
      <c r="O59" s="3"/>
      <c r="P59" s="3"/>
      <c r="Q59" s="3"/>
      <c r="R59" s="4" t="s">
        <v>35</v>
      </c>
      <c r="S59" s="3"/>
      <c r="T59" s="4" t="str">
        <f>"10537-05050"</f>
        <v>10537-05050</v>
      </c>
      <c r="U59" s="4" t="str">
        <f>"01-113933"</f>
        <v>01-113933</v>
      </c>
      <c r="V59" s="4" t="str">
        <f>"1000573"</f>
        <v>1000573</v>
      </c>
      <c r="W59" s="4" t="s">
        <v>36</v>
      </c>
      <c r="X59" s="4" t="str">
        <f t="shared" si="3"/>
        <v>02MQ7</v>
      </c>
      <c r="Y59" s="4" t="str">
        <f>"10537-05050"</f>
        <v>10537-05050</v>
      </c>
      <c r="Z59" s="4" t="str">
        <f>""</f>
        <v/>
      </c>
      <c r="AA59" s="4" t="str">
        <f>""</f>
        <v/>
      </c>
      <c r="AB59" s="5">
        <v>43465</v>
      </c>
      <c r="AC59" s="4">
        <v>0</v>
      </c>
    </row>
    <row r="60" spans="1:29" ht="14.45" customHeight="1" x14ac:dyDescent="0.25">
      <c r="A60" s="4" t="s">
        <v>25</v>
      </c>
      <c r="B60" s="4" t="s">
        <v>139</v>
      </c>
      <c r="C60" s="4" t="s">
        <v>140</v>
      </c>
      <c r="D60" s="4" t="s">
        <v>28</v>
      </c>
      <c r="E60" s="4" t="s">
        <v>249</v>
      </c>
      <c r="F60" s="4" t="s">
        <v>250</v>
      </c>
      <c r="G60" s="4" t="s">
        <v>250</v>
      </c>
      <c r="H60" s="4" t="s">
        <v>251</v>
      </c>
      <c r="I60" s="4" t="s">
        <v>173</v>
      </c>
      <c r="J60" s="4" t="str">
        <f>"5975SB0001948"</f>
        <v>5975SB0001948</v>
      </c>
      <c r="K60" s="4" t="s">
        <v>174</v>
      </c>
      <c r="L60" s="4" t="str">
        <f>""</f>
        <v/>
      </c>
      <c r="M60" s="4" t="str">
        <f>""</f>
        <v/>
      </c>
      <c r="N60" s="4" t="s">
        <v>34</v>
      </c>
      <c r="O60" s="3"/>
      <c r="P60" s="3"/>
      <c r="Q60" s="3"/>
      <c r="R60" s="4" t="s">
        <v>35</v>
      </c>
      <c r="S60" s="3"/>
      <c r="T60" s="4" t="str">
        <f>"10537-05032"</f>
        <v>10537-05032</v>
      </c>
      <c r="U60" s="4" t="str">
        <f>"NCIA12039001"</f>
        <v>NCIA12039001</v>
      </c>
      <c r="V60" s="4" t="str">
        <f>""</f>
        <v/>
      </c>
      <c r="W60" s="4" t="s">
        <v>36</v>
      </c>
      <c r="X60" s="4" t="str">
        <f t="shared" si="3"/>
        <v>02MQ7</v>
      </c>
      <c r="Y60" s="4" t="str">
        <f>"11008-05032"</f>
        <v>11008-05032</v>
      </c>
      <c r="Z60" s="4" t="str">
        <f>""</f>
        <v/>
      </c>
      <c r="AA60" s="4" t="str">
        <f>""</f>
        <v/>
      </c>
      <c r="AB60" s="5">
        <v>44041</v>
      </c>
      <c r="AC60" s="4">
        <v>3120.13</v>
      </c>
    </row>
    <row r="61" spans="1:29" ht="14.45" customHeight="1" x14ac:dyDescent="0.25">
      <c r="A61" s="4" t="s">
        <v>25</v>
      </c>
      <c r="B61" s="4" t="s">
        <v>139</v>
      </c>
      <c r="C61" s="4" t="s">
        <v>140</v>
      </c>
      <c r="D61" s="4" t="s">
        <v>28</v>
      </c>
      <c r="E61" s="4" t="s">
        <v>249</v>
      </c>
      <c r="F61" s="4" t="s">
        <v>250</v>
      </c>
      <c r="G61" s="4" t="s">
        <v>250</v>
      </c>
      <c r="H61" s="4" t="s">
        <v>251</v>
      </c>
      <c r="I61" s="4" t="s">
        <v>54</v>
      </c>
      <c r="J61" s="4" t="str">
        <f>"5975SB0002121"</f>
        <v>5975SB0002121</v>
      </c>
      <c r="K61" s="4" t="s">
        <v>175</v>
      </c>
      <c r="L61" s="4" t="str">
        <f>""</f>
        <v/>
      </c>
      <c r="M61" s="4" t="str">
        <f>""</f>
        <v/>
      </c>
      <c r="N61" s="4" t="s">
        <v>34</v>
      </c>
      <c r="O61" s="3"/>
      <c r="P61" s="3"/>
      <c r="Q61" s="3"/>
      <c r="R61" s="4" t="s">
        <v>35</v>
      </c>
      <c r="S61" s="3"/>
      <c r="T61" s="4" t="str">
        <f>"10537-05022"</f>
        <v>10537-05022</v>
      </c>
      <c r="U61" s="4" t="str">
        <f>"NCIA12038984"</f>
        <v>NCIA12038984</v>
      </c>
      <c r="V61" s="4" t="str">
        <f>"1004446"</f>
        <v>1004446</v>
      </c>
      <c r="W61" s="4" t="s">
        <v>36</v>
      </c>
      <c r="X61" s="4" t="str">
        <f t="shared" si="3"/>
        <v>02MQ7</v>
      </c>
      <c r="Y61" s="4" t="str">
        <f>"11008-05022"</f>
        <v>11008-05022</v>
      </c>
      <c r="Z61" s="4" t="str">
        <f>""</f>
        <v/>
      </c>
      <c r="AA61" s="4" t="str">
        <f>""</f>
        <v/>
      </c>
      <c r="AB61" s="5">
        <v>44041</v>
      </c>
      <c r="AC61" s="4">
        <v>17795.330000000002</v>
      </c>
    </row>
    <row r="62" spans="1:29" ht="14.45" customHeight="1" x14ac:dyDescent="0.25">
      <c r="A62" s="4" t="s">
        <v>25</v>
      </c>
      <c r="B62" s="4" t="s">
        <v>139</v>
      </c>
      <c r="C62" s="4" t="s">
        <v>140</v>
      </c>
      <c r="D62" s="4" t="s">
        <v>28</v>
      </c>
      <c r="E62" s="4" t="s">
        <v>249</v>
      </c>
      <c r="F62" s="4" t="s">
        <v>250</v>
      </c>
      <c r="G62" s="4" t="s">
        <v>250</v>
      </c>
      <c r="H62" s="4" t="s">
        <v>251</v>
      </c>
      <c r="I62" s="4" t="s">
        <v>72</v>
      </c>
      <c r="J62" s="4" t="str">
        <f>"5975SB0002678"</f>
        <v>5975SB0002678</v>
      </c>
      <c r="K62" s="4" t="s">
        <v>73</v>
      </c>
      <c r="L62" s="4" t="str">
        <f>""</f>
        <v/>
      </c>
      <c r="M62" s="4" t="str">
        <f>""</f>
        <v/>
      </c>
      <c r="N62" s="4" t="s">
        <v>34</v>
      </c>
      <c r="O62" s="3"/>
      <c r="P62" s="3"/>
      <c r="Q62" s="3"/>
      <c r="R62" s="4" t="s">
        <v>35</v>
      </c>
      <c r="S62" s="3"/>
      <c r="T62" s="4" t="str">
        <f>"300167"</f>
        <v>300167</v>
      </c>
      <c r="U62" s="4" t="str">
        <f>"01-113787"</f>
        <v>01-113787</v>
      </c>
      <c r="V62" s="4" t="str">
        <f>"2622074-001"</f>
        <v>2622074-001</v>
      </c>
      <c r="W62" s="4" t="s">
        <v>36</v>
      </c>
      <c r="X62" s="4" t="str">
        <f>"59797"</f>
        <v>59797</v>
      </c>
      <c r="Y62" s="4" t="str">
        <f>"300167"</f>
        <v>300167</v>
      </c>
      <c r="Z62" s="4" t="str">
        <f>""</f>
        <v/>
      </c>
      <c r="AA62" s="4" t="str">
        <f>""</f>
        <v/>
      </c>
      <c r="AB62" s="5">
        <v>43465</v>
      </c>
      <c r="AC62" s="4">
        <v>6589.05</v>
      </c>
    </row>
    <row r="63" spans="1:29" ht="14.45" customHeight="1" x14ac:dyDescent="0.25">
      <c r="A63" s="4" t="s">
        <v>25</v>
      </c>
      <c r="B63" s="4" t="s">
        <v>139</v>
      </c>
      <c r="C63" s="4" t="s">
        <v>140</v>
      </c>
      <c r="D63" s="4" t="s">
        <v>28</v>
      </c>
      <c r="E63" s="4" t="s">
        <v>249</v>
      </c>
      <c r="F63" s="4" t="s">
        <v>250</v>
      </c>
      <c r="G63" s="4" t="s">
        <v>250</v>
      </c>
      <c r="H63" s="4" t="s">
        <v>251</v>
      </c>
      <c r="I63" s="4" t="s">
        <v>72</v>
      </c>
      <c r="J63" s="4" t="str">
        <f>"5975SB0002678"</f>
        <v>5975SB0002678</v>
      </c>
      <c r="K63" s="4" t="s">
        <v>73</v>
      </c>
      <c r="L63" s="4" t="str">
        <f>""</f>
        <v/>
      </c>
      <c r="M63" s="4" t="str">
        <f>""</f>
        <v/>
      </c>
      <c r="N63" s="4" t="s">
        <v>34</v>
      </c>
      <c r="O63" s="3"/>
      <c r="P63" s="3"/>
      <c r="Q63" s="3"/>
      <c r="R63" s="4" t="s">
        <v>35</v>
      </c>
      <c r="S63" s="3"/>
      <c r="T63" s="4" t="str">
        <f>"300167"</f>
        <v>300167</v>
      </c>
      <c r="U63" s="4" t="str">
        <f>"NCIA12039008"</f>
        <v>NCIA12039008</v>
      </c>
      <c r="V63" s="4" t="str">
        <f>"SPECT18-00006"</f>
        <v>SPECT18-00006</v>
      </c>
      <c r="W63" s="4" t="s">
        <v>36</v>
      </c>
      <c r="X63" s="4" t="str">
        <f>"59797"</f>
        <v>59797</v>
      </c>
      <c r="Y63" s="4" t="str">
        <f>"300167"</f>
        <v>300167</v>
      </c>
      <c r="Z63" s="4" t="str">
        <f>""</f>
        <v/>
      </c>
      <c r="AA63" s="4" t="str">
        <f>""</f>
        <v/>
      </c>
      <c r="AB63" s="5">
        <v>44041</v>
      </c>
      <c r="AC63" s="4">
        <v>6114.45</v>
      </c>
    </row>
    <row r="64" spans="1:29" ht="14.45" customHeight="1" x14ac:dyDescent="0.25">
      <c r="A64" s="4" t="s">
        <v>25</v>
      </c>
      <c r="B64" s="4" t="s">
        <v>139</v>
      </c>
      <c r="C64" s="4" t="s">
        <v>140</v>
      </c>
      <c r="D64" s="4" t="s">
        <v>28</v>
      </c>
      <c r="E64" s="4" t="s">
        <v>249</v>
      </c>
      <c r="F64" s="4" t="s">
        <v>250</v>
      </c>
      <c r="G64" s="4" t="s">
        <v>250</v>
      </c>
      <c r="H64" s="4" t="s">
        <v>251</v>
      </c>
      <c r="I64" s="4" t="s">
        <v>59</v>
      </c>
      <c r="J64" s="4" t="str">
        <f>"5975SB0003393"</f>
        <v>5975SB0003393</v>
      </c>
      <c r="K64" s="4" t="s">
        <v>274</v>
      </c>
      <c r="L64" s="4" t="str">
        <f>""</f>
        <v/>
      </c>
      <c r="M64" s="4" t="str">
        <f>""</f>
        <v/>
      </c>
      <c r="N64" s="4" t="s">
        <v>34</v>
      </c>
      <c r="O64" s="3"/>
      <c r="P64" s="3"/>
      <c r="Q64" s="3"/>
      <c r="R64" s="4" t="s">
        <v>35</v>
      </c>
      <c r="S64" s="3"/>
      <c r="T64" s="4" t="str">
        <f>"10537-05031"</f>
        <v>10537-05031</v>
      </c>
      <c r="U64" s="4" t="str">
        <f>"01-113932"</f>
        <v>01-113932</v>
      </c>
      <c r="V64" s="4" t="str">
        <f>"1000559"</f>
        <v>1000559</v>
      </c>
      <c r="W64" s="4" t="s">
        <v>36</v>
      </c>
      <c r="X64" s="4" t="str">
        <f>"02MQ7"</f>
        <v>02MQ7</v>
      </c>
      <c r="Y64" s="4" t="str">
        <f>"10537-05031"</f>
        <v>10537-05031</v>
      </c>
      <c r="Z64" s="4" t="str">
        <f>""</f>
        <v/>
      </c>
      <c r="AA64" s="4" t="str">
        <f>""</f>
        <v/>
      </c>
      <c r="AB64" s="5">
        <v>43465</v>
      </c>
      <c r="AC64" s="6">
        <v>2468751631</v>
      </c>
    </row>
    <row r="65" spans="1:29" ht="14.45" customHeight="1" x14ac:dyDescent="0.25">
      <c r="A65" s="4" t="s">
        <v>25</v>
      </c>
      <c r="B65" s="4" t="s">
        <v>139</v>
      </c>
      <c r="C65" s="4" t="s">
        <v>140</v>
      </c>
      <c r="D65" s="4" t="s">
        <v>28</v>
      </c>
      <c r="E65" s="4" t="s">
        <v>249</v>
      </c>
      <c r="F65" s="4" t="s">
        <v>250</v>
      </c>
      <c r="G65" s="4" t="s">
        <v>250</v>
      </c>
      <c r="H65" s="4" t="s">
        <v>251</v>
      </c>
      <c r="I65" s="4" t="s">
        <v>59</v>
      </c>
      <c r="J65" s="4" t="str">
        <f>"5975SB0003443"</f>
        <v>5975SB0003443</v>
      </c>
      <c r="K65" s="4" t="s">
        <v>275</v>
      </c>
      <c r="L65" s="4" t="str">
        <f>""</f>
        <v/>
      </c>
      <c r="M65" s="4" t="str">
        <f>""</f>
        <v/>
      </c>
      <c r="N65" s="4" t="s">
        <v>34</v>
      </c>
      <c r="O65" s="3"/>
      <c r="P65" s="3"/>
      <c r="Q65" s="3"/>
      <c r="R65" s="4" t="s">
        <v>35</v>
      </c>
      <c r="S65" s="3"/>
      <c r="T65" s="4" t="str">
        <f>"10537-05029"</f>
        <v>10537-05029</v>
      </c>
      <c r="U65" s="4" t="str">
        <f>"NCIA10243157"</f>
        <v>NCIA10243157</v>
      </c>
      <c r="V65" s="4" t="str">
        <f>"1000585."</f>
        <v>1000585.</v>
      </c>
      <c r="W65" s="4" t="s">
        <v>36</v>
      </c>
      <c r="X65" s="4" t="str">
        <f>"02MQ7"</f>
        <v>02MQ7</v>
      </c>
      <c r="Y65" s="4" t="str">
        <f>"10537-05029"</f>
        <v>10537-05029</v>
      </c>
      <c r="Z65" s="4" t="str">
        <f>""</f>
        <v/>
      </c>
      <c r="AA65" s="4" t="str">
        <f>""</f>
        <v/>
      </c>
      <c r="AB65" s="5">
        <v>43465</v>
      </c>
      <c r="AC65" s="4">
        <v>1400</v>
      </c>
    </row>
    <row r="66" spans="1:29" ht="14.45" customHeight="1" x14ac:dyDescent="0.25">
      <c r="A66" s="4" t="s">
        <v>25</v>
      </c>
      <c r="B66" s="4" t="s">
        <v>139</v>
      </c>
      <c r="C66" s="4" t="s">
        <v>140</v>
      </c>
      <c r="D66" s="4" t="s">
        <v>28</v>
      </c>
      <c r="E66" s="4" t="s">
        <v>249</v>
      </c>
      <c r="F66" s="4" t="s">
        <v>250</v>
      </c>
      <c r="G66" s="4" t="s">
        <v>250</v>
      </c>
      <c r="H66" s="4" t="s">
        <v>251</v>
      </c>
      <c r="I66" s="4" t="s">
        <v>32</v>
      </c>
      <c r="J66" s="4" t="str">
        <f>"5975SB0018939"</f>
        <v>5975SB0018939</v>
      </c>
      <c r="K66" s="4" t="s">
        <v>276</v>
      </c>
      <c r="L66" s="4" t="str">
        <f>""</f>
        <v/>
      </c>
      <c r="M66" s="4" t="str">
        <f>""</f>
        <v/>
      </c>
      <c r="N66" s="4" t="s">
        <v>34</v>
      </c>
      <c r="O66" s="3"/>
      <c r="P66" s="3"/>
      <c r="Q66" s="3"/>
      <c r="R66" s="4" t="s">
        <v>35</v>
      </c>
      <c r="S66" s="3"/>
      <c r="T66" s="4" t="str">
        <f>"722200250"</f>
        <v>722200250</v>
      </c>
      <c r="U66" s="4" t="str">
        <f>"01-113788"</f>
        <v>01-113788</v>
      </c>
      <c r="V66" s="4" t="str">
        <f>"38212358"</f>
        <v>38212358</v>
      </c>
      <c r="W66" s="4" t="s">
        <v>36</v>
      </c>
      <c r="X66" s="4" t="str">
        <f>"0NJ18"</f>
        <v>0NJ18</v>
      </c>
      <c r="Y66" s="4" t="str">
        <f>"722200250"</f>
        <v>722200250</v>
      </c>
      <c r="Z66" s="4" t="str">
        <f>""</f>
        <v/>
      </c>
      <c r="AA66" s="4" t="str">
        <f>""</f>
        <v/>
      </c>
      <c r="AB66" s="5">
        <v>43465</v>
      </c>
      <c r="AC66" s="4">
        <v>246.3</v>
      </c>
    </row>
    <row r="67" spans="1:29" ht="14.45" customHeight="1" x14ac:dyDescent="0.25">
      <c r="A67" s="4" t="s">
        <v>25</v>
      </c>
      <c r="B67" s="4" t="s">
        <v>139</v>
      </c>
      <c r="C67" s="4" t="s">
        <v>140</v>
      </c>
      <c r="D67" s="4" t="s">
        <v>28</v>
      </c>
      <c r="E67" s="4" t="s">
        <v>249</v>
      </c>
      <c r="F67" s="4" t="s">
        <v>250</v>
      </c>
      <c r="G67" s="4" t="s">
        <v>250</v>
      </c>
      <c r="H67" s="4" t="s">
        <v>251</v>
      </c>
      <c r="I67" s="4" t="s">
        <v>32</v>
      </c>
      <c r="J67" s="4" t="str">
        <f>"5975SB0018939"</f>
        <v>5975SB0018939</v>
      </c>
      <c r="K67" s="4" t="s">
        <v>276</v>
      </c>
      <c r="L67" s="4" t="str">
        <f>""</f>
        <v/>
      </c>
      <c r="M67" s="4" t="str">
        <f>""</f>
        <v/>
      </c>
      <c r="N67" s="4" t="s">
        <v>34</v>
      </c>
      <c r="O67" s="3"/>
      <c r="P67" s="3"/>
      <c r="Q67" s="3"/>
      <c r="R67" s="4" t="s">
        <v>35</v>
      </c>
      <c r="S67" s="3"/>
      <c r="T67" s="4" t="str">
        <f>"722200250"</f>
        <v>722200250</v>
      </c>
      <c r="U67" s="4" t="str">
        <f>"01-113789"</f>
        <v>01-113789</v>
      </c>
      <c r="V67" s="4" t="str">
        <f>"38512359"</f>
        <v>38512359</v>
      </c>
      <c r="W67" s="4" t="s">
        <v>36</v>
      </c>
      <c r="X67" s="4" t="str">
        <f>"0NJ18"</f>
        <v>0NJ18</v>
      </c>
      <c r="Y67" s="4" t="str">
        <f>"722200250"</f>
        <v>722200250</v>
      </c>
      <c r="Z67" s="4" t="str">
        <f>""</f>
        <v/>
      </c>
      <c r="AA67" s="4" t="str">
        <f>""</f>
        <v/>
      </c>
      <c r="AB67" s="5">
        <v>43465</v>
      </c>
      <c r="AC67" s="4">
        <v>246.3</v>
      </c>
    </row>
    <row r="68" spans="1:29" ht="14.45" customHeight="1" x14ac:dyDescent="0.25">
      <c r="A68" s="4" t="s">
        <v>25</v>
      </c>
      <c r="B68" s="4" t="s">
        <v>139</v>
      </c>
      <c r="C68" s="4" t="s">
        <v>140</v>
      </c>
      <c r="D68" s="4" t="s">
        <v>28</v>
      </c>
      <c r="E68" s="4" t="s">
        <v>249</v>
      </c>
      <c r="F68" s="4" t="s">
        <v>250</v>
      </c>
      <c r="G68" s="4" t="s">
        <v>250</v>
      </c>
      <c r="H68" s="4" t="s">
        <v>251</v>
      </c>
      <c r="I68" s="4" t="s">
        <v>32</v>
      </c>
      <c r="J68" s="4" t="str">
        <f>"5975SB0018939"</f>
        <v>5975SB0018939</v>
      </c>
      <c r="K68" s="4" t="s">
        <v>276</v>
      </c>
      <c r="L68" s="4" t="str">
        <f>""</f>
        <v/>
      </c>
      <c r="M68" s="4" t="str">
        <f>""</f>
        <v/>
      </c>
      <c r="N68" s="4" t="s">
        <v>34</v>
      </c>
      <c r="O68" s="3"/>
      <c r="P68" s="3"/>
      <c r="Q68" s="3"/>
      <c r="R68" s="4" t="s">
        <v>35</v>
      </c>
      <c r="S68" s="3"/>
      <c r="T68" s="4" t="str">
        <f>"722200250"</f>
        <v>722200250</v>
      </c>
      <c r="U68" s="4" t="str">
        <f>"01-113790"</f>
        <v>01-113790</v>
      </c>
      <c r="V68" s="4" t="str">
        <f>"38512360"</f>
        <v>38512360</v>
      </c>
      <c r="W68" s="4" t="s">
        <v>36</v>
      </c>
      <c r="X68" s="4" t="str">
        <f>"0NJ18"</f>
        <v>0NJ18</v>
      </c>
      <c r="Y68" s="4" t="str">
        <f>"722200250"</f>
        <v>722200250</v>
      </c>
      <c r="Z68" s="4" t="str">
        <f>""</f>
        <v/>
      </c>
      <c r="AA68" s="4" t="str">
        <f>""</f>
        <v/>
      </c>
      <c r="AB68" s="5">
        <v>43465</v>
      </c>
      <c r="AC68" s="4">
        <v>246.3</v>
      </c>
    </row>
    <row r="69" spans="1:29" ht="14.45" customHeight="1" x14ac:dyDescent="0.25">
      <c r="A69" s="4" t="s">
        <v>25</v>
      </c>
      <c r="B69" s="4" t="s">
        <v>139</v>
      </c>
      <c r="C69" s="4" t="s">
        <v>140</v>
      </c>
      <c r="D69" s="4" t="s">
        <v>28</v>
      </c>
      <c r="E69" s="4" t="s">
        <v>249</v>
      </c>
      <c r="F69" s="4" t="s">
        <v>250</v>
      </c>
      <c r="G69" s="4" t="s">
        <v>250</v>
      </c>
      <c r="H69" s="4" t="s">
        <v>251</v>
      </c>
      <c r="I69" s="4" t="s">
        <v>37</v>
      </c>
      <c r="J69" s="4" t="str">
        <f>"5975SB0058613"</f>
        <v>5975SB0058613</v>
      </c>
      <c r="K69" s="4" t="s">
        <v>277</v>
      </c>
      <c r="L69" s="4" t="str">
        <f>""</f>
        <v/>
      </c>
      <c r="M69" s="4" t="str">
        <f>""</f>
        <v/>
      </c>
      <c r="N69" s="4" t="s">
        <v>34</v>
      </c>
      <c r="O69" s="3"/>
      <c r="P69" s="3"/>
      <c r="Q69" s="3"/>
      <c r="R69" s="4" t="s">
        <v>35</v>
      </c>
      <c r="S69" s="3"/>
      <c r="T69" s="4" t="str">
        <f>""</f>
        <v/>
      </c>
      <c r="U69" s="4" t="str">
        <f>"NCIA12038983"</f>
        <v>NCIA12038983</v>
      </c>
      <c r="V69" s="4" t="str">
        <f>""</f>
        <v/>
      </c>
      <c r="W69" s="4" t="s">
        <v>36</v>
      </c>
      <c r="X69" s="4" t="str">
        <f>"02MQ7"</f>
        <v>02MQ7</v>
      </c>
      <c r="Y69" s="4" t="str">
        <f>"11008-05104"</f>
        <v>11008-05104</v>
      </c>
      <c r="Z69" s="4" t="str">
        <f>""</f>
        <v/>
      </c>
      <c r="AA69" s="4" t="str">
        <f>""</f>
        <v/>
      </c>
      <c r="AB69" s="5">
        <v>44041</v>
      </c>
      <c r="AC69" s="4">
        <v>979</v>
      </c>
    </row>
    <row r="70" spans="1:29" ht="14.45" customHeight="1" x14ac:dyDescent="0.25">
      <c r="A70" s="4" t="s">
        <v>25</v>
      </c>
      <c r="B70" s="4" t="s">
        <v>139</v>
      </c>
      <c r="C70" s="4" t="s">
        <v>140</v>
      </c>
      <c r="D70" s="4" t="s">
        <v>28</v>
      </c>
      <c r="E70" s="4" t="s">
        <v>249</v>
      </c>
      <c r="F70" s="4" t="s">
        <v>250</v>
      </c>
      <c r="G70" s="4" t="s">
        <v>250</v>
      </c>
      <c r="H70" s="4" t="s">
        <v>251</v>
      </c>
      <c r="I70" s="4" t="s">
        <v>59</v>
      </c>
      <c r="J70" s="4" t="str">
        <f>"5985SB0001894"</f>
        <v>5985SB0001894</v>
      </c>
      <c r="K70" s="4" t="s">
        <v>76</v>
      </c>
      <c r="L70" s="4" t="str">
        <f>""</f>
        <v/>
      </c>
      <c r="M70" s="4" t="str">
        <f>""</f>
        <v/>
      </c>
      <c r="N70" s="4" t="s">
        <v>34</v>
      </c>
      <c r="O70" s="3"/>
      <c r="P70" s="3"/>
      <c r="Q70" s="3"/>
      <c r="R70" s="4" t="s">
        <v>35</v>
      </c>
      <c r="S70" s="3"/>
      <c r="T70" s="4" t="str">
        <f>"047494-01"</f>
        <v>047494-01</v>
      </c>
      <c r="U70" s="4" t="str">
        <f>"01-128071"</f>
        <v>01-128071</v>
      </c>
      <c r="V70" s="4" t="str">
        <f>"VSA-7366"</f>
        <v>VSA-7366</v>
      </c>
      <c r="W70" s="4" t="s">
        <v>36</v>
      </c>
      <c r="X70" s="4" t="str">
        <f>"1GD22"</f>
        <v>1GD22</v>
      </c>
      <c r="Y70" s="4" t="str">
        <f>"047494-01"</f>
        <v>047494-01</v>
      </c>
      <c r="Z70" s="4" t="str">
        <f>""</f>
        <v/>
      </c>
      <c r="AA70" s="4" t="str">
        <f>""</f>
        <v/>
      </c>
      <c r="AB70" s="5">
        <v>43465</v>
      </c>
      <c r="AC70" s="4">
        <v>0</v>
      </c>
    </row>
    <row r="71" spans="1:29" ht="14.45" customHeight="1" x14ac:dyDescent="0.25">
      <c r="A71" s="4" t="s">
        <v>25</v>
      </c>
      <c r="B71" s="4" t="s">
        <v>139</v>
      </c>
      <c r="C71" s="4" t="s">
        <v>140</v>
      </c>
      <c r="D71" s="4" t="s">
        <v>28</v>
      </c>
      <c r="E71" s="4" t="s">
        <v>249</v>
      </c>
      <c r="F71" s="4" t="s">
        <v>250</v>
      </c>
      <c r="G71" s="4" t="s">
        <v>250</v>
      </c>
      <c r="H71" s="4" t="s">
        <v>251</v>
      </c>
      <c r="I71" s="4" t="s">
        <v>59</v>
      </c>
      <c r="J71" s="4" t="str">
        <f>"5985SB0001898"</f>
        <v>5985SB0001898</v>
      </c>
      <c r="K71" s="4" t="s">
        <v>278</v>
      </c>
      <c r="L71" s="4" t="str">
        <f>""</f>
        <v/>
      </c>
      <c r="M71" s="4" t="str">
        <f>""</f>
        <v/>
      </c>
      <c r="N71" s="4" t="s">
        <v>34</v>
      </c>
      <c r="O71" s="3"/>
      <c r="P71" s="3"/>
      <c r="Q71" s="3"/>
      <c r="R71" s="4" t="s">
        <v>35</v>
      </c>
      <c r="S71" s="3"/>
      <c r="T71" s="4" t="str">
        <f>"047721-03"</f>
        <v>047721-03</v>
      </c>
      <c r="U71" s="4" t="str">
        <f>"01-113907"</f>
        <v>01-113907</v>
      </c>
      <c r="V71" s="4" t="str">
        <f>"DD125-104"</f>
        <v>DD125-104</v>
      </c>
      <c r="W71" s="4" t="s">
        <v>36</v>
      </c>
      <c r="X71" s="4" t="str">
        <f>"1GD22"</f>
        <v>1GD22</v>
      </c>
      <c r="Y71" s="4" t="str">
        <f>"047721-03"</f>
        <v>047721-03</v>
      </c>
      <c r="Z71" s="4" t="str">
        <f>""</f>
        <v/>
      </c>
      <c r="AA71" s="4" t="str">
        <f>""</f>
        <v/>
      </c>
      <c r="AB71" s="5">
        <v>43465</v>
      </c>
      <c r="AC71" s="4">
        <v>0</v>
      </c>
    </row>
    <row r="72" spans="1:29" ht="14.45" customHeight="1" x14ac:dyDescent="0.25">
      <c r="A72" s="4" t="s">
        <v>25</v>
      </c>
      <c r="B72" s="4" t="s">
        <v>139</v>
      </c>
      <c r="C72" s="4" t="s">
        <v>140</v>
      </c>
      <c r="D72" s="4" t="s">
        <v>28</v>
      </c>
      <c r="E72" s="4" t="s">
        <v>249</v>
      </c>
      <c r="F72" s="4" t="s">
        <v>250</v>
      </c>
      <c r="G72" s="4" t="s">
        <v>250</v>
      </c>
      <c r="H72" s="4" t="s">
        <v>251</v>
      </c>
      <c r="I72" s="4" t="s">
        <v>61</v>
      </c>
      <c r="J72" s="4" t="str">
        <f>"5985SB0002132"</f>
        <v>5985SB0002132</v>
      </c>
      <c r="K72" s="4" t="s">
        <v>187</v>
      </c>
      <c r="L72" s="4" t="str">
        <f>""</f>
        <v/>
      </c>
      <c r="M72" s="4" t="str">
        <f>""</f>
        <v/>
      </c>
      <c r="N72" s="4" t="s">
        <v>34</v>
      </c>
      <c r="O72" s="3"/>
      <c r="P72" s="3"/>
      <c r="Q72" s="3"/>
      <c r="R72" s="4" t="s">
        <v>35</v>
      </c>
      <c r="S72" s="3"/>
      <c r="T72" s="4" t="str">
        <f>"10537-05021"</f>
        <v>10537-05021</v>
      </c>
      <c r="U72" s="4" t="str">
        <f>"NCIA12038986"</f>
        <v>NCIA12038986</v>
      </c>
      <c r="V72" s="4" t="str">
        <f>"1004453"</f>
        <v>1004453</v>
      </c>
      <c r="W72" s="4" t="s">
        <v>36</v>
      </c>
      <c r="X72" s="4" t="str">
        <f>"02MQ7"</f>
        <v>02MQ7</v>
      </c>
      <c r="Y72" s="4" t="str">
        <f>"11008-05021"</f>
        <v>11008-05021</v>
      </c>
      <c r="Z72" s="4" t="str">
        <f>""</f>
        <v/>
      </c>
      <c r="AA72" s="4" t="str">
        <f>""</f>
        <v/>
      </c>
      <c r="AB72" s="5">
        <v>44041</v>
      </c>
      <c r="AC72" s="4">
        <v>0</v>
      </c>
    </row>
    <row r="73" spans="1:29" ht="14.45" customHeight="1" x14ac:dyDescent="0.25">
      <c r="A73" s="4" t="s">
        <v>25</v>
      </c>
      <c r="B73" s="4" t="s">
        <v>139</v>
      </c>
      <c r="C73" s="4" t="s">
        <v>140</v>
      </c>
      <c r="D73" s="4" t="s">
        <v>28</v>
      </c>
      <c r="E73" s="4" t="s">
        <v>249</v>
      </c>
      <c r="F73" s="4" t="s">
        <v>250</v>
      </c>
      <c r="G73" s="4" t="s">
        <v>250</v>
      </c>
      <c r="H73" s="4" t="s">
        <v>251</v>
      </c>
      <c r="I73" s="4" t="s">
        <v>77</v>
      </c>
      <c r="J73" s="4" t="str">
        <f>"5985SB0002170"</f>
        <v>5985SB0002170</v>
      </c>
      <c r="K73" s="4" t="s">
        <v>78</v>
      </c>
      <c r="L73" s="4" t="str">
        <f>""</f>
        <v/>
      </c>
      <c r="M73" s="4" t="str">
        <f>""</f>
        <v/>
      </c>
      <c r="N73" s="4" t="s">
        <v>34</v>
      </c>
      <c r="O73" s="3"/>
      <c r="P73" s="3"/>
      <c r="Q73" s="3"/>
      <c r="R73" s="4" t="s">
        <v>35</v>
      </c>
      <c r="S73" s="3"/>
      <c r="T73" s="4" t="str">
        <f>"5985015847796"</f>
        <v>5985015847796</v>
      </c>
      <c r="U73" s="4" t="str">
        <f>"01-113792"</f>
        <v>01-113792</v>
      </c>
      <c r="V73" s="4" t="str">
        <f>"VCN090648"</f>
        <v>VCN090648</v>
      </c>
      <c r="W73" s="4" t="s">
        <v>36</v>
      </c>
      <c r="X73" s="4" t="str">
        <f>"0HF70"</f>
        <v>0HF70</v>
      </c>
      <c r="Y73" s="4" t="str">
        <f>"99-319-1100-18 REV"</f>
        <v>99-319-1100-18 REV</v>
      </c>
      <c r="Z73" s="4" t="str">
        <f>""</f>
        <v/>
      </c>
      <c r="AA73" s="4" t="str">
        <f>""</f>
        <v/>
      </c>
      <c r="AB73" s="5">
        <v>43465</v>
      </c>
      <c r="AC73" s="4">
        <v>0</v>
      </c>
    </row>
    <row r="74" spans="1:29" ht="14.45" customHeight="1" x14ac:dyDescent="0.25">
      <c r="A74" s="4" t="s">
        <v>25</v>
      </c>
      <c r="B74" s="4" t="s">
        <v>139</v>
      </c>
      <c r="C74" s="4" t="s">
        <v>140</v>
      </c>
      <c r="D74" s="4" t="s">
        <v>28</v>
      </c>
      <c r="E74" s="4" t="s">
        <v>249</v>
      </c>
      <c r="F74" s="4" t="s">
        <v>250</v>
      </c>
      <c r="G74" s="4" t="s">
        <v>250</v>
      </c>
      <c r="H74" s="4" t="s">
        <v>251</v>
      </c>
      <c r="I74" s="4" t="s">
        <v>77</v>
      </c>
      <c r="J74" s="4" t="str">
        <f>"5985SB0002170"</f>
        <v>5985SB0002170</v>
      </c>
      <c r="K74" s="4" t="s">
        <v>78</v>
      </c>
      <c r="L74" s="4" t="str">
        <f>""</f>
        <v/>
      </c>
      <c r="M74" s="4" t="str">
        <f>""</f>
        <v/>
      </c>
      <c r="N74" s="4" t="s">
        <v>34</v>
      </c>
      <c r="O74" s="3"/>
      <c r="P74" s="3"/>
      <c r="Q74" s="3"/>
      <c r="R74" s="4" t="s">
        <v>35</v>
      </c>
      <c r="S74" s="3"/>
      <c r="T74" s="4" t="str">
        <f>"5985015847796"</f>
        <v>5985015847796</v>
      </c>
      <c r="U74" s="4" t="str">
        <f>"NCIA12039007"</f>
        <v>NCIA12039007</v>
      </c>
      <c r="V74" s="4" t="str">
        <f>"178476101"</f>
        <v>178476101</v>
      </c>
      <c r="W74" s="4" t="s">
        <v>36</v>
      </c>
      <c r="X74" s="4" t="str">
        <f>"02MQ7"</f>
        <v>02MQ7</v>
      </c>
      <c r="Y74" s="4" t="str">
        <f>"123T-02-S04-A01"</f>
        <v>123T-02-S04-A01</v>
      </c>
      <c r="Z74" s="4" t="str">
        <f>""</f>
        <v/>
      </c>
      <c r="AA74" s="4" t="str">
        <f>""</f>
        <v/>
      </c>
      <c r="AB74" s="5">
        <v>44041</v>
      </c>
      <c r="AC74" s="4">
        <v>0</v>
      </c>
    </row>
    <row r="75" spans="1:29" ht="14.45" customHeight="1" x14ac:dyDescent="0.25">
      <c r="A75" s="4" t="s">
        <v>25</v>
      </c>
      <c r="B75" s="4" t="s">
        <v>139</v>
      </c>
      <c r="C75" s="4" t="s">
        <v>140</v>
      </c>
      <c r="D75" s="4" t="s">
        <v>28</v>
      </c>
      <c r="E75" s="4" t="s">
        <v>249</v>
      </c>
      <c r="F75" s="4" t="s">
        <v>250</v>
      </c>
      <c r="G75" s="4" t="s">
        <v>250</v>
      </c>
      <c r="H75" s="4" t="s">
        <v>251</v>
      </c>
      <c r="I75" s="4" t="s">
        <v>59</v>
      </c>
      <c r="J75" s="4" t="str">
        <f>"5985SB0002507"</f>
        <v>5985SB0002507</v>
      </c>
      <c r="K75" s="4" t="s">
        <v>79</v>
      </c>
      <c r="L75" s="4" t="str">
        <f>""</f>
        <v/>
      </c>
      <c r="M75" s="4" t="str">
        <f>""</f>
        <v/>
      </c>
      <c r="N75" s="4" t="s">
        <v>34</v>
      </c>
      <c r="O75" s="3"/>
      <c r="P75" s="3"/>
      <c r="Q75" s="3"/>
      <c r="R75" s="4" t="s">
        <v>35</v>
      </c>
      <c r="S75" s="3"/>
      <c r="T75" s="4" t="str">
        <f>"12719-301"</f>
        <v>12719-301</v>
      </c>
      <c r="U75" s="4" t="str">
        <f>"01-113966"</f>
        <v>01-113966</v>
      </c>
      <c r="V75" s="4" t="str">
        <f>"12719-008"</f>
        <v>12719-008</v>
      </c>
      <c r="W75" s="4" t="s">
        <v>36</v>
      </c>
      <c r="X75" s="4" t="str">
        <f>"0BFK7"</f>
        <v>0BFK7</v>
      </c>
      <c r="Y75" s="4" t="str">
        <f>"12719-301"</f>
        <v>12719-301</v>
      </c>
      <c r="Z75" s="4" t="str">
        <f>""</f>
        <v/>
      </c>
      <c r="AA75" s="4" t="str">
        <f>""</f>
        <v/>
      </c>
      <c r="AB75" s="5">
        <v>43465</v>
      </c>
      <c r="AC75" s="4">
        <v>0</v>
      </c>
    </row>
    <row r="76" spans="1:29" ht="14.45" customHeight="1" x14ac:dyDescent="0.25">
      <c r="A76" s="4" t="s">
        <v>25</v>
      </c>
      <c r="B76" s="4" t="s">
        <v>139</v>
      </c>
      <c r="C76" s="4" t="s">
        <v>140</v>
      </c>
      <c r="D76" s="4" t="s">
        <v>28</v>
      </c>
      <c r="E76" s="4" t="s">
        <v>249</v>
      </c>
      <c r="F76" s="4" t="s">
        <v>250</v>
      </c>
      <c r="G76" s="4" t="s">
        <v>250</v>
      </c>
      <c r="H76" s="4" t="s">
        <v>251</v>
      </c>
      <c r="I76" s="4" t="s">
        <v>59</v>
      </c>
      <c r="J76" s="4" t="str">
        <f>"5985SB0002508"</f>
        <v>5985SB0002508</v>
      </c>
      <c r="K76" s="4" t="s">
        <v>80</v>
      </c>
      <c r="L76" s="4" t="str">
        <f>""</f>
        <v/>
      </c>
      <c r="M76" s="4" t="str">
        <f>""</f>
        <v/>
      </c>
      <c r="N76" s="4" t="s">
        <v>34</v>
      </c>
      <c r="O76" s="3"/>
      <c r="P76" s="3"/>
      <c r="Q76" s="3"/>
      <c r="R76" s="4" t="s">
        <v>35</v>
      </c>
      <c r="S76" s="3"/>
      <c r="T76" s="4" t="str">
        <f>"12721-101"</f>
        <v>12721-101</v>
      </c>
      <c r="U76" s="4" t="str">
        <f>"01-113968"</f>
        <v>01-113968</v>
      </c>
      <c r="V76" s="4" t="str">
        <f>"12721-11"</f>
        <v>12721-11</v>
      </c>
      <c r="W76" s="4" t="s">
        <v>36</v>
      </c>
      <c r="X76" s="4" t="str">
        <f>"0BFK7"</f>
        <v>0BFK7</v>
      </c>
      <c r="Y76" s="4" t="str">
        <f>"12721-101"</f>
        <v>12721-101</v>
      </c>
      <c r="Z76" s="4" t="str">
        <f>""</f>
        <v/>
      </c>
      <c r="AA76" s="4" t="str">
        <f>""</f>
        <v/>
      </c>
      <c r="AB76" s="5">
        <v>43465</v>
      </c>
      <c r="AC76" s="4">
        <v>0</v>
      </c>
    </row>
    <row r="77" spans="1:29" ht="14.45" customHeight="1" x14ac:dyDescent="0.25">
      <c r="A77" s="4" t="s">
        <v>25</v>
      </c>
      <c r="B77" s="4" t="s">
        <v>139</v>
      </c>
      <c r="C77" s="4" t="s">
        <v>140</v>
      </c>
      <c r="D77" s="4" t="s">
        <v>28</v>
      </c>
      <c r="E77" s="4" t="s">
        <v>249</v>
      </c>
      <c r="F77" s="4" t="s">
        <v>250</v>
      </c>
      <c r="G77" s="4" t="s">
        <v>250</v>
      </c>
      <c r="H77" s="4" t="s">
        <v>251</v>
      </c>
      <c r="I77" s="4" t="s">
        <v>59</v>
      </c>
      <c r="J77" s="4" t="str">
        <f>"5985SB0017092"</f>
        <v>5985SB0017092</v>
      </c>
      <c r="K77" s="4" t="s">
        <v>279</v>
      </c>
      <c r="L77" s="4" t="str">
        <f>""</f>
        <v/>
      </c>
      <c r="M77" s="4" t="str">
        <f>""</f>
        <v/>
      </c>
      <c r="N77" s="4" t="s">
        <v>34</v>
      </c>
      <c r="O77" s="3"/>
      <c r="P77" s="3"/>
      <c r="Q77" s="3"/>
      <c r="R77" s="4" t="s">
        <v>35</v>
      </c>
      <c r="S77" s="3"/>
      <c r="T77" s="4" t="str">
        <f>"10537-06076"</f>
        <v>10537-06076</v>
      </c>
      <c r="U77" s="4" t="str">
        <f>"NCIAX11191305"</f>
        <v>NCIAX11191305</v>
      </c>
      <c r="V77" s="4" t="str">
        <f>""</f>
        <v/>
      </c>
      <c r="W77" s="4" t="s">
        <v>36</v>
      </c>
      <c r="X77" s="4" t="str">
        <f>"02MQ7"</f>
        <v>02MQ7</v>
      </c>
      <c r="Y77" s="4" t="str">
        <f>"10537-06076"</f>
        <v>10537-06076</v>
      </c>
      <c r="Z77" s="4" t="str">
        <f>""</f>
        <v/>
      </c>
      <c r="AA77" s="4" t="str">
        <f>""</f>
        <v/>
      </c>
      <c r="AB77" s="5">
        <v>43465</v>
      </c>
      <c r="AC77" s="4">
        <v>0</v>
      </c>
    </row>
    <row r="78" spans="1:29" ht="14.45" customHeight="1" x14ac:dyDescent="0.25">
      <c r="A78" s="4" t="s">
        <v>25</v>
      </c>
      <c r="B78" s="4" t="s">
        <v>139</v>
      </c>
      <c r="C78" s="4" t="s">
        <v>140</v>
      </c>
      <c r="D78" s="4" t="s">
        <v>28</v>
      </c>
      <c r="E78" s="4" t="s">
        <v>249</v>
      </c>
      <c r="F78" s="4" t="s">
        <v>250</v>
      </c>
      <c r="G78" s="4" t="s">
        <v>250</v>
      </c>
      <c r="H78" s="4" t="s">
        <v>251</v>
      </c>
      <c r="I78" s="4" t="s">
        <v>37</v>
      </c>
      <c r="J78" s="4" t="str">
        <f>"5985SB0042110"</f>
        <v>5985SB0042110</v>
      </c>
      <c r="K78" s="4" t="s">
        <v>280</v>
      </c>
      <c r="L78" s="4" t="str">
        <f>""</f>
        <v/>
      </c>
      <c r="M78" s="4" t="str">
        <f>""</f>
        <v/>
      </c>
      <c r="N78" s="4" t="s">
        <v>34</v>
      </c>
      <c r="O78" s="3"/>
      <c r="P78" s="3"/>
      <c r="Q78" s="3"/>
      <c r="R78" s="4" t="s">
        <v>35</v>
      </c>
      <c r="S78" s="3"/>
      <c r="T78" s="4" t="str">
        <f>""</f>
        <v/>
      </c>
      <c r="U78" s="4" t="str">
        <f>"NCIA12038992"</f>
        <v>NCIA12038992</v>
      </c>
      <c r="V78" s="4" t="str">
        <f>"38951"</f>
        <v>38951</v>
      </c>
      <c r="W78" s="4" t="s">
        <v>36</v>
      </c>
      <c r="X78" s="4" t="str">
        <f>"02MQ7"</f>
        <v>02MQ7</v>
      </c>
      <c r="Y78" s="4" t="str">
        <f>"LDCBS1X2-N"</f>
        <v>LDCBS1X2-N</v>
      </c>
      <c r="Z78" s="4" t="str">
        <f>""</f>
        <v/>
      </c>
      <c r="AA78" s="4" t="str">
        <f>""</f>
        <v/>
      </c>
      <c r="AB78" s="5">
        <v>44041</v>
      </c>
      <c r="AC78" s="4">
        <v>0</v>
      </c>
    </row>
    <row r="79" spans="1:29" ht="14.45" customHeight="1" x14ac:dyDescent="0.25">
      <c r="A79" s="4" t="s">
        <v>25</v>
      </c>
      <c r="B79" s="4" t="s">
        <v>139</v>
      </c>
      <c r="C79" s="4" t="s">
        <v>140</v>
      </c>
      <c r="D79" s="4" t="s">
        <v>28</v>
      </c>
      <c r="E79" s="4" t="s">
        <v>249</v>
      </c>
      <c r="F79" s="4" t="s">
        <v>250</v>
      </c>
      <c r="G79" s="4" t="s">
        <v>250</v>
      </c>
      <c r="H79" s="4" t="s">
        <v>251</v>
      </c>
      <c r="I79" s="4" t="s">
        <v>83</v>
      </c>
      <c r="J79" s="4" t="str">
        <f>"5995SB0003715"</f>
        <v>5995SB0003715</v>
      </c>
      <c r="K79" s="4" t="s">
        <v>84</v>
      </c>
      <c r="L79" s="4" t="str">
        <f>""</f>
        <v/>
      </c>
      <c r="M79" s="4" t="str">
        <f>""</f>
        <v/>
      </c>
      <c r="N79" s="4" t="s">
        <v>34</v>
      </c>
      <c r="O79" s="3"/>
      <c r="P79" s="3"/>
      <c r="Q79" s="3"/>
      <c r="R79" s="4" t="s">
        <v>35</v>
      </c>
      <c r="S79" s="3"/>
      <c r="T79" s="4" t="str">
        <f>"6150016214694"</f>
        <v>6150016214694</v>
      </c>
      <c r="U79" s="4" t="str">
        <f>"01-114018"</f>
        <v>01-114018</v>
      </c>
      <c r="V79" s="4" t="str">
        <f>"9319/W047"</f>
        <v>9319/W047</v>
      </c>
      <c r="W79" s="4" t="s">
        <v>36</v>
      </c>
      <c r="X79" s="4" t="str">
        <f>"34078"</f>
        <v>34078</v>
      </c>
      <c r="Y79" s="4" t="str">
        <f>"731-00405-00"</f>
        <v>731-00405-00</v>
      </c>
      <c r="Z79" s="4" t="str">
        <f>""</f>
        <v/>
      </c>
      <c r="AA79" s="4" t="str">
        <f>""</f>
        <v/>
      </c>
      <c r="AB79" s="5">
        <v>43465</v>
      </c>
      <c r="AC79" s="6">
        <v>2546251111111110</v>
      </c>
    </row>
    <row r="80" spans="1:29" ht="14.45" customHeight="1" x14ac:dyDescent="0.25">
      <c r="A80" s="4" t="s">
        <v>25</v>
      </c>
      <c r="B80" s="4" t="s">
        <v>139</v>
      </c>
      <c r="C80" s="4" t="s">
        <v>140</v>
      </c>
      <c r="D80" s="4" t="s">
        <v>28</v>
      </c>
      <c r="E80" s="4" t="s">
        <v>249</v>
      </c>
      <c r="F80" s="4" t="s">
        <v>250</v>
      </c>
      <c r="G80" s="4" t="s">
        <v>250</v>
      </c>
      <c r="H80" s="4" t="s">
        <v>251</v>
      </c>
      <c r="I80" s="4" t="s">
        <v>194</v>
      </c>
      <c r="J80" s="4" t="str">
        <f>"5995SB0004706"</f>
        <v>5995SB0004706</v>
      </c>
      <c r="K80" s="4" t="s">
        <v>195</v>
      </c>
      <c r="L80" s="4" t="str">
        <f>""</f>
        <v/>
      </c>
      <c r="M80" s="4" t="str">
        <f>""</f>
        <v/>
      </c>
      <c r="N80" s="4" t="s">
        <v>34</v>
      </c>
      <c r="O80" s="3"/>
      <c r="P80" s="3"/>
      <c r="Q80" s="3"/>
      <c r="R80" s="4" t="s">
        <v>35</v>
      </c>
      <c r="S80" s="3"/>
      <c r="T80" s="4" t="str">
        <f>"62136637-400"</f>
        <v>62136637-400</v>
      </c>
      <c r="U80" s="4" t="str">
        <f>"NCIAX11191312"</f>
        <v>NCIAX11191312</v>
      </c>
      <c r="V80" s="4" t="str">
        <f>""</f>
        <v/>
      </c>
      <c r="W80" s="4" t="s">
        <v>36</v>
      </c>
      <c r="X80" s="4" t="str">
        <f>"D5212"</f>
        <v>D5212</v>
      </c>
      <c r="Y80" s="4" t="str">
        <f>"62136637-400"</f>
        <v>62136637-400</v>
      </c>
      <c r="Z80" s="4" t="str">
        <f>""</f>
        <v/>
      </c>
      <c r="AA80" s="4" t="str">
        <f>""</f>
        <v/>
      </c>
      <c r="AB80" s="5">
        <v>43465</v>
      </c>
      <c r="AC80" s="4">
        <v>1627.2</v>
      </c>
    </row>
    <row r="81" spans="1:29" ht="14.45" customHeight="1" x14ac:dyDescent="0.25">
      <c r="A81" s="4" t="s">
        <v>25</v>
      </c>
      <c r="B81" s="4" t="s">
        <v>139</v>
      </c>
      <c r="C81" s="4" t="s">
        <v>140</v>
      </c>
      <c r="D81" s="4" t="s">
        <v>28</v>
      </c>
      <c r="E81" s="4" t="s">
        <v>249</v>
      </c>
      <c r="F81" s="4" t="s">
        <v>250</v>
      </c>
      <c r="G81" s="4" t="s">
        <v>250</v>
      </c>
      <c r="H81" s="4" t="s">
        <v>251</v>
      </c>
      <c r="I81" s="4" t="s">
        <v>51</v>
      </c>
      <c r="J81" s="4" t="str">
        <f>"5995SB0006064"</f>
        <v>5995SB0006064</v>
      </c>
      <c r="K81" s="4" t="s">
        <v>281</v>
      </c>
      <c r="L81" s="4" t="str">
        <f>""</f>
        <v/>
      </c>
      <c r="M81" s="4" t="str">
        <f>""</f>
        <v/>
      </c>
      <c r="N81" s="4" t="s">
        <v>34</v>
      </c>
      <c r="O81" s="3"/>
      <c r="P81" s="3"/>
      <c r="Q81" s="3"/>
      <c r="R81" s="4" t="s">
        <v>35</v>
      </c>
      <c r="S81" s="3"/>
      <c r="T81" s="4" t="str">
        <f>"10537-05074"</f>
        <v>10537-05074</v>
      </c>
      <c r="U81" s="4" t="str">
        <f>"01-113935"</f>
        <v>01-113935</v>
      </c>
      <c r="V81" s="4" t="str">
        <f>"1001352"</f>
        <v>1001352</v>
      </c>
      <c r="W81" s="4" t="s">
        <v>36</v>
      </c>
      <c r="X81" s="4" t="str">
        <f>"02MQ7"</f>
        <v>02MQ7</v>
      </c>
      <c r="Y81" s="4" t="str">
        <f>"10537-05074"</f>
        <v>10537-05074</v>
      </c>
      <c r="Z81" s="4" t="str">
        <f>""</f>
        <v/>
      </c>
      <c r="AA81" s="4" t="str">
        <f>""</f>
        <v/>
      </c>
      <c r="AB81" s="5">
        <v>43465</v>
      </c>
      <c r="AC81" s="4">
        <v>0</v>
      </c>
    </row>
    <row r="82" spans="1:29" ht="14.45" customHeight="1" x14ac:dyDescent="0.25">
      <c r="A82" s="4" t="s">
        <v>25</v>
      </c>
      <c r="B82" s="4" t="s">
        <v>139</v>
      </c>
      <c r="C82" s="4" t="s">
        <v>140</v>
      </c>
      <c r="D82" s="4" t="s">
        <v>28</v>
      </c>
      <c r="E82" s="4" t="s">
        <v>249</v>
      </c>
      <c r="F82" s="4" t="s">
        <v>250</v>
      </c>
      <c r="G82" s="4" t="s">
        <v>250</v>
      </c>
      <c r="H82" s="4" t="s">
        <v>251</v>
      </c>
      <c r="I82" s="4" t="s">
        <v>51</v>
      </c>
      <c r="J82" s="4" t="str">
        <f>"5995SB0006064"</f>
        <v>5995SB0006064</v>
      </c>
      <c r="K82" s="4" t="s">
        <v>281</v>
      </c>
      <c r="L82" s="4" t="str">
        <f>""</f>
        <v/>
      </c>
      <c r="M82" s="4" t="str">
        <f>""</f>
        <v/>
      </c>
      <c r="N82" s="4" t="s">
        <v>34</v>
      </c>
      <c r="O82" s="3"/>
      <c r="P82" s="3"/>
      <c r="Q82" s="3"/>
      <c r="R82" s="4" t="s">
        <v>35</v>
      </c>
      <c r="S82" s="3"/>
      <c r="T82" s="4" t="str">
        <f>"10537-05074"</f>
        <v>10537-05074</v>
      </c>
      <c r="U82" s="4" t="str">
        <f>"01-113936"</f>
        <v>01-113936</v>
      </c>
      <c r="V82" s="4" t="str">
        <f>"1001358"</f>
        <v>1001358</v>
      </c>
      <c r="W82" s="4" t="s">
        <v>36</v>
      </c>
      <c r="X82" s="4" t="str">
        <f>"02MQ7"</f>
        <v>02MQ7</v>
      </c>
      <c r="Y82" s="4" t="str">
        <f>"10537-05074"</f>
        <v>10537-05074</v>
      </c>
      <c r="Z82" s="4" t="str">
        <f>""</f>
        <v/>
      </c>
      <c r="AA82" s="4" t="str">
        <f>""</f>
        <v/>
      </c>
      <c r="AB82" s="5">
        <v>43465</v>
      </c>
      <c r="AC82" s="4">
        <v>0</v>
      </c>
    </row>
    <row r="83" spans="1:29" ht="14.45" customHeight="1" x14ac:dyDescent="0.25">
      <c r="A83" s="4" t="s">
        <v>25</v>
      </c>
      <c r="B83" s="4" t="s">
        <v>139</v>
      </c>
      <c r="C83" s="4" t="s">
        <v>140</v>
      </c>
      <c r="D83" s="4" t="s">
        <v>28</v>
      </c>
      <c r="E83" s="4" t="s">
        <v>249</v>
      </c>
      <c r="F83" s="4" t="s">
        <v>250</v>
      </c>
      <c r="G83" s="4" t="s">
        <v>250</v>
      </c>
      <c r="H83" s="4" t="s">
        <v>251</v>
      </c>
      <c r="I83" s="4" t="s">
        <v>85</v>
      </c>
      <c r="J83" s="4" t="str">
        <f>"5996SB0001968"</f>
        <v>5996SB0001968</v>
      </c>
      <c r="K83" s="4" t="s">
        <v>86</v>
      </c>
      <c r="L83" s="4" t="str">
        <f>""</f>
        <v/>
      </c>
      <c r="M83" s="4" t="str">
        <f>""</f>
        <v/>
      </c>
      <c r="N83" s="4" t="s">
        <v>34</v>
      </c>
      <c r="O83" s="3"/>
      <c r="P83" s="3"/>
      <c r="Q83" s="3"/>
      <c r="R83" s="4" t="s">
        <v>35</v>
      </c>
      <c r="S83" s="3"/>
      <c r="T83" s="4" t="str">
        <f>"L207155-1"</f>
        <v>L207155-1</v>
      </c>
      <c r="U83" s="4" t="str">
        <f>"01-114121"</f>
        <v>01-114121</v>
      </c>
      <c r="V83" s="4" t="str">
        <f>"1002056"</f>
        <v>1002056</v>
      </c>
      <c r="W83" s="4" t="s">
        <v>36</v>
      </c>
      <c r="X83" s="4" t="str">
        <f>"1GLV3"</f>
        <v>1GLV3</v>
      </c>
      <c r="Y83" s="4" t="str">
        <f>"L207155-1"</f>
        <v>L207155-1</v>
      </c>
      <c r="Z83" s="4" t="str">
        <f>""</f>
        <v/>
      </c>
      <c r="AA83" s="4" t="str">
        <f>""</f>
        <v/>
      </c>
      <c r="AB83" s="5">
        <v>43465</v>
      </c>
      <c r="AC83" s="6">
        <v>2.96456980533333E+16</v>
      </c>
    </row>
    <row r="84" spans="1:29" ht="14.45" customHeight="1" x14ac:dyDescent="0.25">
      <c r="A84" s="4" t="s">
        <v>25</v>
      </c>
      <c r="B84" s="4" t="s">
        <v>139</v>
      </c>
      <c r="C84" s="4" t="s">
        <v>140</v>
      </c>
      <c r="D84" s="4" t="s">
        <v>28</v>
      </c>
      <c r="E84" s="4" t="s">
        <v>249</v>
      </c>
      <c r="F84" s="4" t="s">
        <v>250</v>
      </c>
      <c r="G84" s="4" t="s">
        <v>250</v>
      </c>
      <c r="H84" s="4" t="s">
        <v>251</v>
      </c>
      <c r="I84" s="4" t="s">
        <v>61</v>
      </c>
      <c r="J84" s="4" t="str">
        <f>"5996SB0002404"</f>
        <v>5996SB0002404</v>
      </c>
      <c r="K84" s="4" t="s">
        <v>87</v>
      </c>
      <c r="L84" s="4" t="str">
        <f>""</f>
        <v/>
      </c>
      <c r="M84" s="4" t="str">
        <f>""</f>
        <v/>
      </c>
      <c r="N84" s="4" t="s">
        <v>34</v>
      </c>
      <c r="O84" s="3"/>
      <c r="P84" s="3"/>
      <c r="Q84" s="3"/>
      <c r="R84" s="4" t="s">
        <v>35</v>
      </c>
      <c r="S84" s="3"/>
      <c r="T84" s="4" t="str">
        <f>"10537-05025"</f>
        <v>10537-05025</v>
      </c>
      <c r="U84" s="4" t="str">
        <f>"NCIA12039003"</f>
        <v>NCIA12039003</v>
      </c>
      <c r="V84" s="4" t="str">
        <f>"1000639"</f>
        <v>1000639</v>
      </c>
      <c r="W84" s="4" t="s">
        <v>36</v>
      </c>
      <c r="X84" s="4" t="str">
        <f>"02MQ7"</f>
        <v>02MQ7</v>
      </c>
      <c r="Y84" s="4" t="str">
        <f>"11008-05025"</f>
        <v>11008-05025</v>
      </c>
      <c r="Z84" s="4" t="str">
        <f>""</f>
        <v/>
      </c>
      <c r="AA84" s="4" t="str">
        <f>""</f>
        <v/>
      </c>
      <c r="AB84" s="5">
        <v>44041</v>
      </c>
      <c r="AC84" s="6">
        <v>510084251</v>
      </c>
    </row>
    <row r="85" spans="1:29" ht="14.45" customHeight="1" x14ac:dyDescent="0.25">
      <c r="A85" s="4" t="s">
        <v>25</v>
      </c>
      <c r="B85" s="4" t="s">
        <v>139</v>
      </c>
      <c r="C85" s="4" t="s">
        <v>140</v>
      </c>
      <c r="D85" s="4" t="s">
        <v>28</v>
      </c>
      <c r="E85" s="4" t="s">
        <v>249</v>
      </c>
      <c r="F85" s="4" t="s">
        <v>250</v>
      </c>
      <c r="G85" s="4" t="s">
        <v>250</v>
      </c>
      <c r="H85" s="4" t="s">
        <v>251</v>
      </c>
      <c r="I85" s="4" t="s">
        <v>61</v>
      </c>
      <c r="J85" s="4" t="str">
        <f>"5996SB0002404"</f>
        <v>5996SB0002404</v>
      </c>
      <c r="K85" s="4" t="s">
        <v>87</v>
      </c>
      <c r="L85" s="4" t="str">
        <f>""</f>
        <v/>
      </c>
      <c r="M85" s="4" t="str">
        <f>""</f>
        <v/>
      </c>
      <c r="N85" s="4" t="s">
        <v>34</v>
      </c>
      <c r="O85" s="3"/>
      <c r="P85" s="3"/>
      <c r="Q85" s="3"/>
      <c r="R85" s="4" t="s">
        <v>35</v>
      </c>
      <c r="S85" s="3"/>
      <c r="T85" s="4" t="str">
        <f>"10537-05025"</f>
        <v>10537-05025</v>
      </c>
      <c r="U85" s="4" t="str">
        <f>"NCIA12039004"</f>
        <v>NCIA12039004</v>
      </c>
      <c r="V85" s="4" t="str">
        <f>"1000640"</f>
        <v>1000640</v>
      </c>
      <c r="W85" s="4" t="s">
        <v>36</v>
      </c>
      <c r="X85" s="4" t="str">
        <f>"02MQ7"</f>
        <v>02MQ7</v>
      </c>
      <c r="Y85" s="4" t="str">
        <f>"11008-05025"</f>
        <v>11008-05025</v>
      </c>
      <c r="Z85" s="4" t="str">
        <f>""</f>
        <v/>
      </c>
      <c r="AA85" s="4" t="str">
        <f>""</f>
        <v/>
      </c>
      <c r="AB85" s="5">
        <v>44041</v>
      </c>
      <c r="AC85" s="6">
        <v>510084251</v>
      </c>
    </row>
    <row r="86" spans="1:29" ht="14.45" customHeight="1" x14ac:dyDescent="0.25">
      <c r="A86" s="4" t="s">
        <v>25</v>
      </c>
      <c r="B86" s="4" t="s">
        <v>139</v>
      </c>
      <c r="C86" s="4" t="s">
        <v>140</v>
      </c>
      <c r="D86" s="4" t="s">
        <v>28</v>
      </c>
      <c r="E86" s="4" t="s">
        <v>249</v>
      </c>
      <c r="F86" s="4" t="s">
        <v>250</v>
      </c>
      <c r="G86" s="4" t="s">
        <v>250</v>
      </c>
      <c r="H86" s="4" t="s">
        <v>251</v>
      </c>
      <c r="I86" s="4" t="s">
        <v>61</v>
      </c>
      <c r="J86" s="4" t="str">
        <f>"5996SB0002404"</f>
        <v>5996SB0002404</v>
      </c>
      <c r="K86" s="4" t="s">
        <v>87</v>
      </c>
      <c r="L86" s="4" t="str">
        <f>""</f>
        <v/>
      </c>
      <c r="M86" s="4" t="str">
        <f>""</f>
        <v/>
      </c>
      <c r="N86" s="4" t="s">
        <v>34</v>
      </c>
      <c r="O86" s="3"/>
      <c r="P86" s="3"/>
      <c r="Q86" s="3"/>
      <c r="R86" s="4" t="s">
        <v>35</v>
      </c>
      <c r="S86" s="3"/>
      <c r="T86" s="4" t="str">
        <f>"10537-05025"</f>
        <v>10537-05025</v>
      </c>
      <c r="U86" s="4" t="str">
        <f>"NCIA12039005"</f>
        <v>NCIA12039005</v>
      </c>
      <c r="V86" s="4" t="str">
        <f>"1000642"</f>
        <v>1000642</v>
      </c>
      <c r="W86" s="4" t="s">
        <v>36</v>
      </c>
      <c r="X86" s="4" t="str">
        <f>"02MQ7"</f>
        <v>02MQ7</v>
      </c>
      <c r="Y86" s="4" t="str">
        <f>"11008-05025"</f>
        <v>11008-05025</v>
      </c>
      <c r="Z86" s="4" t="str">
        <f>""</f>
        <v/>
      </c>
      <c r="AA86" s="4" t="str">
        <f>""</f>
        <v/>
      </c>
      <c r="AB86" s="5">
        <v>44041</v>
      </c>
      <c r="AC86" s="6">
        <v>510084251</v>
      </c>
    </row>
    <row r="87" spans="1:29" ht="14.45" customHeight="1" x14ac:dyDescent="0.25">
      <c r="A87" s="4" t="s">
        <v>25</v>
      </c>
      <c r="B87" s="4" t="s">
        <v>139</v>
      </c>
      <c r="C87" s="4" t="s">
        <v>140</v>
      </c>
      <c r="D87" s="4" t="s">
        <v>28</v>
      </c>
      <c r="E87" s="4" t="s">
        <v>249</v>
      </c>
      <c r="F87" s="4" t="s">
        <v>250</v>
      </c>
      <c r="G87" s="4" t="s">
        <v>250</v>
      </c>
      <c r="H87" s="4" t="s">
        <v>251</v>
      </c>
      <c r="I87" s="4" t="s">
        <v>199</v>
      </c>
      <c r="J87" s="4" t="str">
        <f>"5996SB0003306"</f>
        <v>5996SB0003306</v>
      </c>
      <c r="K87" s="4" t="s">
        <v>200</v>
      </c>
      <c r="L87" s="4" t="str">
        <f>""</f>
        <v/>
      </c>
      <c r="M87" s="4" t="str">
        <f>""</f>
        <v/>
      </c>
      <c r="N87" s="4" t="s">
        <v>34</v>
      </c>
      <c r="O87" s="3"/>
      <c r="P87" s="3"/>
      <c r="Q87" s="3"/>
      <c r="R87" s="4" t="s">
        <v>35</v>
      </c>
      <c r="S87" s="3"/>
      <c r="T87" s="4" t="str">
        <f>"L207154-1"</f>
        <v>L207154-1</v>
      </c>
      <c r="U87" s="4" t="str">
        <f>"01-114080"</f>
        <v>01-114080</v>
      </c>
      <c r="V87" s="4" t="str">
        <f>"299"</f>
        <v>299</v>
      </c>
      <c r="W87" s="4" t="s">
        <v>36</v>
      </c>
      <c r="X87" s="4" t="str">
        <f>"1GLV3"</f>
        <v>1GLV3</v>
      </c>
      <c r="Y87" s="4" t="str">
        <f>"L-207154-1"</f>
        <v>L-207154-1</v>
      </c>
      <c r="Z87" s="4" t="str">
        <f>""</f>
        <v/>
      </c>
      <c r="AA87" s="4" t="str">
        <f>""</f>
        <v/>
      </c>
      <c r="AB87" s="5">
        <v>43465</v>
      </c>
      <c r="AC87" s="4">
        <v>3343.37</v>
      </c>
    </row>
    <row r="88" spans="1:29" ht="14.45" customHeight="1" x14ac:dyDescent="0.25">
      <c r="A88" s="4" t="s">
        <v>25</v>
      </c>
      <c r="B88" s="4" t="s">
        <v>139</v>
      </c>
      <c r="C88" s="4" t="s">
        <v>140</v>
      </c>
      <c r="D88" s="4" t="s">
        <v>28</v>
      </c>
      <c r="E88" s="4" t="s">
        <v>249</v>
      </c>
      <c r="F88" s="4" t="s">
        <v>250</v>
      </c>
      <c r="G88" s="4" t="s">
        <v>250</v>
      </c>
      <c r="H88" s="4" t="s">
        <v>251</v>
      </c>
      <c r="I88" s="4" t="s">
        <v>199</v>
      </c>
      <c r="J88" s="4" t="str">
        <f>"5996SB0003306"</f>
        <v>5996SB0003306</v>
      </c>
      <c r="K88" s="4" t="s">
        <v>200</v>
      </c>
      <c r="L88" s="4" t="str">
        <f>""</f>
        <v/>
      </c>
      <c r="M88" s="4" t="str">
        <f>""</f>
        <v/>
      </c>
      <c r="N88" s="4" t="s">
        <v>34</v>
      </c>
      <c r="O88" s="3"/>
      <c r="P88" s="3"/>
      <c r="Q88" s="3"/>
      <c r="R88" s="4" t="s">
        <v>35</v>
      </c>
      <c r="S88" s="3"/>
      <c r="T88" s="4" t="str">
        <f>"L207154-1"</f>
        <v>L207154-1</v>
      </c>
      <c r="U88" s="4" t="str">
        <f>"01-114081"</f>
        <v>01-114081</v>
      </c>
      <c r="V88" s="4" t="str">
        <f>"321"</f>
        <v>321</v>
      </c>
      <c r="W88" s="4" t="s">
        <v>36</v>
      </c>
      <c r="X88" s="4" t="str">
        <f>"1GLV3"</f>
        <v>1GLV3</v>
      </c>
      <c r="Y88" s="4" t="str">
        <f>"L-207154-1"</f>
        <v>L-207154-1</v>
      </c>
      <c r="Z88" s="4" t="str">
        <f>""</f>
        <v/>
      </c>
      <c r="AA88" s="4" t="str">
        <f>""</f>
        <v/>
      </c>
      <c r="AB88" s="5">
        <v>43465</v>
      </c>
      <c r="AC88" s="4">
        <v>3343.37</v>
      </c>
    </row>
    <row r="89" spans="1:29" ht="14.45" customHeight="1" x14ac:dyDescent="0.25">
      <c r="A89" s="4" t="s">
        <v>25</v>
      </c>
      <c r="B89" s="4" t="s">
        <v>139</v>
      </c>
      <c r="C89" s="4" t="s">
        <v>140</v>
      </c>
      <c r="D89" s="4" t="s">
        <v>28</v>
      </c>
      <c r="E89" s="4" t="s">
        <v>249</v>
      </c>
      <c r="F89" s="4" t="s">
        <v>250</v>
      </c>
      <c r="G89" s="4" t="s">
        <v>250</v>
      </c>
      <c r="H89" s="4" t="s">
        <v>251</v>
      </c>
      <c r="I89" s="4" t="s">
        <v>51</v>
      </c>
      <c r="J89" s="4" t="str">
        <f>"5998SB0003293"</f>
        <v>5998SB0003293</v>
      </c>
      <c r="K89" s="4" t="s">
        <v>282</v>
      </c>
      <c r="L89" s="4" t="str">
        <f>""</f>
        <v/>
      </c>
      <c r="M89" s="4" t="str">
        <f>""</f>
        <v/>
      </c>
      <c r="N89" s="4" t="s">
        <v>34</v>
      </c>
      <c r="O89" s="3"/>
      <c r="P89" s="3"/>
      <c r="Q89" s="3"/>
      <c r="R89" s="4" t="s">
        <v>35</v>
      </c>
      <c r="S89" s="3"/>
      <c r="T89" s="4" t="str">
        <f>"800-01838-07-J0"</f>
        <v>800-01838-07-J0</v>
      </c>
      <c r="U89" s="4" t="str">
        <f>"01-114066"</f>
        <v>01-114066</v>
      </c>
      <c r="V89" s="4" t="str">
        <f>"37093434"</f>
        <v>37093434</v>
      </c>
      <c r="W89" s="4" t="s">
        <v>36</v>
      </c>
      <c r="X89" s="4" t="str">
        <f>"02MQ7"</f>
        <v>02MQ7</v>
      </c>
      <c r="Y89" s="4" t="str">
        <f>"800-01838-07-J0"</f>
        <v>800-01838-07-J0</v>
      </c>
      <c r="Z89" s="4" t="str">
        <f>""</f>
        <v/>
      </c>
      <c r="AA89" s="4" t="str">
        <f>""</f>
        <v/>
      </c>
      <c r="AB89" s="5">
        <v>43465</v>
      </c>
      <c r="AC89" s="4">
        <v>0</v>
      </c>
    </row>
    <row r="90" spans="1:29" ht="14.45" customHeight="1" x14ac:dyDescent="0.25">
      <c r="A90" s="4" t="s">
        <v>25</v>
      </c>
      <c r="B90" s="4" t="s">
        <v>139</v>
      </c>
      <c r="C90" s="4" t="s">
        <v>140</v>
      </c>
      <c r="D90" s="4" t="s">
        <v>28</v>
      </c>
      <c r="E90" s="4" t="s">
        <v>249</v>
      </c>
      <c r="F90" s="4" t="s">
        <v>250</v>
      </c>
      <c r="G90" s="4" t="s">
        <v>250</v>
      </c>
      <c r="H90" s="4" t="s">
        <v>251</v>
      </c>
      <c r="I90" s="4" t="s">
        <v>51</v>
      </c>
      <c r="J90" s="4" t="str">
        <f>"5998SB0003293"</f>
        <v>5998SB0003293</v>
      </c>
      <c r="K90" s="4" t="s">
        <v>282</v>
      </c>
      <c r="L90" s="4" t="str">
        <f>""</f>
        <v/>
      </c>
      <c r="M90" s="4" t="str">
        <f>""</f>
        <v/>
      </c>
      <c r="N90" s="4" t="s">
        <v>34</v>
      </c>
      <c r="O90" s="3"/>
      <c r="P90" s="3"/>
      <c r="Q90" s="3"/>
      <c r="R90" s="4" t="s">
        <v>35</v>
      </c>
      <c r="S90" s="3"/>
      <c r="T90" s="4" t="str">
        <f>"800-01838-07-J0"</f>
        <v>800-01838-07-J0</v>
      </c>
      <c r="U90" s="4" t="str">
        <f>"01-114067"</f>
        <v>01-114067</v>
      </c>
      <c r="V90" s="4" t="str">
        <f>"37093135"</f>
        <v>37093135</v>
      </c>
      <c r="W90" s="4" t="s">
        <v>36</v>
      </c>
      <c r="X90" s="4" t="str">
        <f>"02MQ7"</f>
        <v>02MQ7</v>
      </c>
      <c r="Y90" s="4" t="str">
        <f>"800-01838-07-J0"</f>
        <v>800-01838-07-J0</v>
      </c>
      <c r="Z90" s="4" t="str">
        <f>""</f>
        <v/>
      </c>
      <c r="AA90" s="4" t="str">
        <f>""</f>
        <v/>
      </c>
      <c r="AB90" s="5">
        <v>43465</v>
      </c>
      <c r="AC90" s="4">
        <v>0</v>
      </c>
    </row>
    <row r="91" spans="1:29" ht="14.45" customHeight="1" x14ac:dyDescent="0.25">
      <c r="A91" s="4" t="s">
        <v>25</v>
      </c>
      <c r="B91" s="4" t="s">
        <v>139</v>
      </c>
      <c r="C91" s="4" t="s">
        <v>140</v>
      </c>
      <c r="D91" s="4" t="s">
        <v>28</v>
      </c>
      <c r="E91" s="4" t="s">
        <v>249</v>
      </c>
      <c r="F91" s="4" t="s">
        <v>250</v>
      </c>
      <c r="G91" s="4" t="s">
        <v>250</v>
      </c>
      <c r="H91" s="4" t="s">
        <v>251</v>
      </c>
      <c r="I91" s="4" t="s">
        <v>42</v>
      </c>
      <c r="J91" s="4" t="str">
        <f>"5998SB0004004"</f>
        <v>5998SB0004004</v>
      </c>
      <c r="K91" s="4" t="s">
        <v>89</v>
      </c>
      <c r="L91" s="4" t="str">
        <f>""</f>
        <v/>
      </c>
      <c r="M91" s="4" t="str">
        <f>""</f>
        <v/>
      </c>
      <c r="N91" s="4" t="s">
        <v>34</v>
      </c>
      <c r="O91" s="3"/>
      <c r="P91" s="3"/>
      <c r="Q91" s="3"/>
      <c r="R91" s="4" t="s">
        <v>35</v>
      </c>
      <c r="S91" s="3"/>
      <c r="T91" s="4" t="str">
        <f>"5998145561175"</f>
        <v>5998145561175</v>
      </c>
      <c r="U91" s="4" t="str">
        <f>"03-110452"</f>
        <v>03-110452</v>
      </c>
      <c r="V91" s="4" t="str">
        <f>"61818758AA00036"</f>
        <v>61818758AA00036</v>
      </c>
      <c r="W91" s="4" t="s">
        <v>36</v>
      </c>
      <c r="X91" s="4" t="str">
        <f t="shared" ref="X91:X97" si="4">"F0057"</f>
        <v>F0057</v>
      </c>
      <c r="Y91" s="4" t="str">
        <f>"61818758AA"</f>
        <v>61818758AA</v>
      </c>
      <c r="Z91" s="4" t="str">
        <f>""</f>
        <v/>
      </c>
      <c r="AA91" s="4" t="str">
        <f>""</f>
        <v/>
      </c>
      <c r="AB91" s="5">
        <v>43465</v>
      </c>
      <c r="AC91" s="4">
        <v>2608.9699999999998</v>
      </c>
    </row>
    <row r="92" spans="1:29" ht="14.45" customHeight="1" x14ac:dyDescent="0.25">
      <c r="A92" s="4" t="s">
        <v>25</v>
      </c>
      <c r="B92" s="4" t="s">
        <v>139</v>
      </c>
      <c r="C92" s="4" t="s">
        <v>140</v>
      </c>
      <c r="D92" s="4" t="s">
        <v>28</v>
      </c>
      <c r="E92" s="4" t="s">
        <v>249</v>
      </c>
      <c r="F92" s="4" t="s">
        <v>250</v>
      </c>
      <c r="G92" s="4" t="s">
        <v>250</v>
      </c>
      <c r="H92" s="4" t="s">
        <v>251</v>
      </c>
      <c r="I92" s="4" t="s">
        <v>42</v>
      </c>
      <c r="J92" s="4" t="str">
        <f>"5998SB0004761"</f>
        <v>5998SB0004761</v>
      </c>
      <c r="K92" s="4" t="s">
        <v>90</v>
      </c>
      <c r="L92" s="4" t="str">
        <f>""</f>
        <v/>
      </c>
      <c r="M92" s="4" t="str">
        <f>""</f>
        <v/>
      </c>
      <c r="N92" s="4" t="s">
        <v>34</v>
      </c>
      <c r="O92" s="3"/>
      <c r="P92" s="3"/>
      <c r="Q92" s="3"/>
      <c r="R92" s="4" t="s">
        <v>35</v>
      </c>
      <c r="S92" s="3"/>
      <c r="T92" s="4" t="str">
        <f>"5998145560368"</f>
        <v>5998145560368</v>
      </c>
      <c r="U92" s="4" t="str">
        <f>"01-135328"</f>
        <v>01-135328</v>
      </c>
      <c r="V92" s="4" t="str">
        <f>"62063591AA00160"</f>
        <v>62063591AA00160</v>
      </c>
      <c r="W92" s="4" t="s">
        <v>36</v>
      </c>
      <c r="X92" s="4" t="str">
        <f t="shared" si="4"/>
        <v>F0057</v>
      </c>
      <c r="Y92" s="4" t="str">
        <f>"62063591AA"</f>
        <v>62063591AA</v>
      </c>
      <c r="Z92" s="4" t="str">
        <f>""</f>
        <v/>
      </c>
      <c r="AA92" s="4" t="str">
        <f>""</f>
        <v/>
      </c>
      <c r="AB92" s="5">
        <v>43465</v>
      </c>
      <c r="AC92" s="4">
        <v>1565.38</v>
      </c>
    </row>
    <row r="93" spans="1:29" ht="14.45" customHeight="1" x14ac:dyDescent="0.25">
      <c r="A93" s="4" t="s">
        <v>25</v>
      </c>
      <c r="B93" s="4" t="s">
        <v>139</v>
      </c>
      <c r="C93" s="4" t="s">
        <v>140</v>
      </c>
      <c r="D93" s="4" t="s">
        <v>28</v>
      </c>
      <c r="E93" s="4" t="s">
        <v>249</v>
      </c>
      <c r="F93" s="4" t="s">
        <v>250</v>
      </c>
      <c r="G93" s="4" t="s">
        <v>250</v>
      </c>
      <c r="H93" s="4" t="s">
        <v>251</v>
      </c>
      <c r="I93" s="4" t="s">
        <v>42</v>
      </c>
      <c r="J93" s="4" t="str">
        <f>"5998SB0005772"</f>
        <v>5998SB0005772</v>
      </c>
      <c r="K93" s="4" t="s">
        <v>91</v>
      </c>
      <c r="L93" s="4" t="str">
        <f>""</f>
        <v/>
      </c>
      <c r="M93" s="4" t="str">
        <f>""</f>
        <v/>
      </c>
      <c r="N93" s="4" t="s">
        <v>34</v>
      </c>
      <c r="O93" s="3"/>
      <c r="P93" s="3"/>
      <c r="Q93" s="3"/>
      <c r="R93" s="4" t="s">
        <v>35</v>
      </c>
      <c r="S93" s="3"/>
      <c r="T93" s="4" t="str">
        <f>"5998145561182"</f>
        <v>5998145561182</v>
      </c>
      <c r="U93" s="4" t="str">
        <f>"03-110547"</f>
        <v>03-110547</v>
      </c>
      <c r="V93" s="4" t="str">
        <f>"62055403AA00601"</f>
        <v>62055403AA00601</v>
      </c>
      <c r="W93" s="4" t="s">
        <v>36</v>
      </c>
      <c r="X93" s="4" t="str">
        <f t="shared" si="4"/>
        <v>F0057</v>
      </c>
      <c r="Y93" s="4" t="str">
        <f>"62055403AA"</f>
        <v>62055403AA</v>
      </c>
      <c r="Z93" s="4" t="str">
        <f>""</f>
        <v/>
      </c>
      <c r="AA93" s="4" t="str">
        <f>""</f>
        <v/>
      </c>
      <c r="AB93" s="5">
        <v>43465</v>
      </c>
      <c r="AC93" s="4">
        <v>0</v>
      </c>
    </row>
    <row r="94" spans="1:29" ht="14.45" customHeight="1" x14ac:dyDescent="0.25">
      <c r="A94" s="4" t="s">
        <v>25</v>
      </c>
      <c r="B94" s="4" t="s">
        <v>139</v>
      </c>
      <c r="C94" s="4" t="s">
        <v>140</v>
      </c>
      <c r="D94" s="4" t="s">
        <v>28</v>
      </c>
      <c r="E94" s="4" t="s">
        <v>249</v>
      </c>
      <c r="F94" s="4" t="s">
        <v>250</v>
      </c>
      <c r="G94" s="4" t="s">
        <v>250</v>
      </c>
      <c r="H94" s="4" t="s">
        <v>251</v>
      </c>
      <c r="I94" s="4" t="s">
        <v>42</v>
      </c>
      <c r="J94" s="4" t="str">
        <f>"5998SB0005772"</f>
        <v>5998SB0005772</v>
      </c>
      <c r="K94" s="4" t="s">
        <v>91</v>
      </c>
      <c r="L94" s="4" t="str">
        <f>""</f>
        <v/>
      </c>
      <c r="M94" s="4" t="str">
        <f>""</f>
        <v/>
      </c>
      <c r="N94" s="4" t="s">
        <v>34</v>
      </c>
      <c r="O94" s="3"/>
      <c r="P94" s="3"/>
      <c r="Q94" s="3"/>
      <c r="R94" s="4" t="s">
        <v>35</v>
      </c>
      <c r="S94" s="3"/>
      <c r="T94" s="4" t="str">
        <f>"5998145561182"</f>
        <v>5998145561182</v>
      </c>
      <c r="U94" s="4" t="str">
        <f>"03-111130"</f>
        <v>03-111130</v>
      </c>
      <c r="V94" s="4" t="str">
        <f>"62055403AA00268"</f>
        <v>62055403AA00268</v>
      </c>
      <c r="W94" s="4" t="s">
        <v>36</v>
      </c>
      <c r="X94" s="4" t="str">
        <f t="shared" si="4"/>
        <v>F0057</v>
      </c>
      <c r="Y94" s="4" t="str">
        <f>"62055403AA"</f>
        <v>62055403AA</v>
      </c>
      <c r="Z94" s="4" t="str">
        <f>""</f>
        <v/>
      </c>
      <c r="AA94" s="4" t="str">
        <f>""</f>
        <v/>
      </c>
      <c r="AB94" s="5">
        <v>43465</v>
      </c>
      <c r="AC94" s="4">
        <v>0</v>
      </c>
    </row>
    <row r="95" spans="1:29" ht="14.45" customHeight="1" x14ac:dyDescent="0.25">
      <c r="A95" s="4" t="s">
        <v>25</v>
      </c>
      <c r="B95" s="4" t="s">
        <v>139</v>
      </c>
      <c r="C95" s="4" t="s">
        <v>140</v>
      </c>
      <c r="D95" s="4" t="s">
        <v>28</v>
      </c>
      <c r="E95" s="4" t="s">
        <v>249</v>
      </c>
      <c r="F95" s="4" t="s">
        <v>250</v>
      </c>
      <c r="G95" s="4" t="s">
        <v>250</v>
      </c>
      <c r="H95" s="4" t="s">
        <v>251</v>
      </c>
      <c r="I95" s="4" t="s">
        <v>42</v>
      </c>
      <c r="J95" s="4" t="str">
        <f>"5998SB0005772"</f>
        <v>5998SB0005772</v>
      </c>
      <c r="K95" s="4" t="s">
        <v>91</v>
      </c>
      <c r="L95" s="4" t="str">
        <f>""</f>
        <v/>
      </c>
      <c r="M95" s="4" t="str">
        <f>""</f>
        <v/>
      </c>
      <c r="N95" s="4" t="s">
        <v>34</v>
      </c>
      <c r="O95" s="3"/>
      <c r="P95" s="3"/>
      <c r="Q95" s="3"/>
      <c r="R95" s="4" t="s">
        <v>35</v>
      </c>
      <c r="S95" s="3"/>
      <c r="T95" s="4" t="str">
        <f>"5998145561182"</f>
        <v>5998145561182</v>
      </c>
      <c r="U95" s="4" t="str">
        <f>"03-112989"</f>
        <v>03-112989</v>
      </c>
      <c r="V95" s="4" t="str">
        <f>"62055403AA00154"</f>
        <v>62055403AA00154</v>
      </c>
      <c r="W95" s="4" t="s">
        <v>36</v>
      </c>
      <c r="X95" s="4" t="str">
        <f t="shared" si="4"/>
        <v>F0057</v>
      </c>
      <c r="Y95" s="4" t="str">
        <f>"62055403AA"</f>
        <v>62055403AA</v>
      </c>
      <c r="Z95" s="4" t="str">
        <f>""</f>
        <v/>
      </c>
      <c r="AA95" s="4" t="str">
        <f>""</f>
        <v/>
      </c>
      <c r="AB95" s="5">
        <v>43465</v>
      </c>
      <c r="AC95" s="4">
        <v>0</v>
      </c>
    </row>
    <row r="96" spans="1:29" ht="14.45" customHeight="1" x14ac:dyDescent="0.25">
      <c r="A96" s="4" t="s">
        <v>25</v>
      </c>
      <c r="B96" s="4" t="s">
        <v>139</v>
      </c>
      <c r="C96" s="4" t="s">
        <v>140</v>
      </c>
      <c r="D96" s="4" t="s">
        <v>28</v>
      </c>
      <c r="E96" s="4" t="s">
        <v>249</v>
      </c>
      <c r="F96" s="4" t="s">
        <v>250</v>
      </c>
      <c r="G96" s="4" t="s">
        <v>250</v>
      </c>
      <c r="H96" s="4" t="s">
        <v>251</v>
      </c>
      <c r="I96" s="4" t="s">
        <v>42</v>
      </c>
      <c r="J96" s="4" t="str">
        <f>"5998SB0005772"</f>
        <v>5998SB0005772</v>
      </c>
      <c r="K96" s="4" t="s">
        <v>91</v>
      </c>
      <c r="L96" s="4" t="str">
        <f>""</f>
        <v/>
      </c>
      <c r="M96" s="4" t="str">
        <f>""</f>
        <v/>
      </c>
      <c r="N96" s="4" t="s">
        <v>34</v>
      </c>
      <c r="O96" s="3"/>
      <c r="P96" s="3"/>
      <c r="Q96" s="3"/>
      <c r="R96" s="4" t="s">
        <v>35</v>
      </c>
      <c r="S96" s="3"/>
      <c r="T96" s="4" t="str">
        <f>"5998145561182"</f>
        <v>5998145561182</v>
      </c>
      <c r="U96" s="4" t="str">
        <f>"03-112991"</f>
        <v>03-112991</v>
      </c>
      <c r="V96" s="4" t="str">
        <f>"62055403AA00163"</f>
        <v>62055403AA00163</v>
      </c>
      <c r="W96" s="4" t="s">
        <v>36</v>
      </c>
      <c r="X96" s="4" t="str">
        <f t="shared" si="4"/>
        <v>F0057</v>
      </c>
      <c r="Y96" s="4" t="str">
        <f>"62055403AA"</f>
        <v>62055403AA</v>
      </c>
      <c r="Z96" s="4" t="str">
        <f>""</f>
        <v/>
      </c>
      <c r="AA96" s="4" t="str">
        <f>""</f>
        <v/>
      </c>
      <c r="AB96" s="5">
        <v>43465</v>
      </c>
      <c r="AC96" s="4">
        <v>0</v>
      </c>
    </row>
    <row r="97" spans="1:29" ht="14.45" customHeight="1" x14ac:dyDescent="0.25">
      <c r="A97" s="4" t="s">
        <v>25</v>
      </c>
      <c r="B97" s="4" t="s">
        <v>139</v>
      </c>
      <c r="C97" s="4" t="s">
        <v>140</v>
      </c>
      <c r="D97" s="4" t="s">
        <v>28</v>
      </c>
      <c r="E97" s="4" t="s">
        <v>249</v>
      </c>
      <c r="F97" s="4" t="s">
        <v>250</v>
      </c>
      <c r="G97" s="4" t="s">
        <v>250</v>
      </c>
      <c r="H97" s="4" t="s">
        <v>251</v>
      </c>
      <c r="I97" s="4" t="s">
        <v>42</v>
      </c>
      <c r="J97" s="4" t="str">
        <f>"5998SB0005772"</f>
        <v>5998SB0005772</v>
      </c>
      <c r="K97" s="4" t="s">
        <v>91</v>
      </c>
      <c r="L97" s="4" t="str">
        <f>""</f>
        <v/>
      </c>
      <c r="M97" s="4" t="str">
        <f>""</f>
        <v/>
      </c>
      <c r="N97" s="4" t="s">
        <v>34</v>
      </c>
      <c r="O97" s="3"/>
      <c r="P97" s="3"/>
      <c r="Q97" s="3"/>
      <c r="R97" s="4" t="s">
        <v>35</v>
      </c>
      <c r="S97" s="3"/>
      <c r="T97" s="4" t="str">
        <f>"5998145561182"</f>
        <v>5998145561182</v>
      </c>
      <c r="U97" s="4" t="str">
        <f>"03-112992"</f>
        <v>03-112992</v>
      </c>
      <c r="V97" s="4" t="str">
        <f>"62055403AA00169"</f>
        <v>62055403AA00169</v>
      </c>
      <c r="W97" s="4" t="s">
        <v>36</v>
      </c>
      <c r="X97" s="4" t="str">
        <f t="shared" si="4"/>
        <v>F0057</v>
      </c>
      <c r="Y97" s="4" t="str">
        <f>"62055403AA"</f>
        <v>62055403AA</v>
      </c>
      <c r="Z97" s="4" t="str">
        <f>""</f>
        <v/>
      </c>
      <c r="AA97" s="4" t="str">
        <f>""</f>
        <v/>
      </c>
      <c r="AB97" s="5">
        <v>43465</v>
      </c>
      <c r="AC97" s="4">
        <v>0</v>
      </c>
    </row>
    <row r="98" spans="1:29" ht="14.45" customHeight="1" x14ac:dyDescent="0.25">
      <c r="A98" s="4" t="s">
        <v>25</v>
      </c>
      <c r="B98" s="4" t="s">
        <v>139</v>
      </c>
      <c r="C98" s="4" t="s">
        <v>140</v>
      </c>
      <c r="D98" s="4" t="s">
        <v>28</v>
      </c>
      <c r="E98" s="4" t="s">
        <v>249</v>
      </c>
      <c r="F98" s="4" t="s">
        <v>250</v>
      </c>
      <c r="G98" s="4" t="s">
        <v>250</v>
      </c>
      <c r="H98" s="4" t="s">
        <v>251</v>
      </c>
      <c r="I98" s="4" t="s">
        <v>66</v>
      </c>
      <c r="J98" s="4" t="str">
        <f>"5998SB0006570"</f>
        <v>5998SB0006570</v>
      </c>
      <c r="K98" s="4" t="s">
        <v>283</v>
      </c>
      <c r="L98" s="4" t="str">
        <f>""</f>
        <v/>
      </c>
      <c r="M98" s="4" t="str">
        <f>""</f>
        <v/>
      </c>
      <c r="N98" s="4" t="s">
        <v>34</v>
      </c>
      <c r="O98" s="3"/>
      <c r="P98" s="3"/>
      <c r="Q98" s="3"/>
      <c r="R98" s="4" t="s">
        <v>35</v>
      </c>
      <c r="S98" s="3"/>
      <c r="T98" s="4" t="str">
        <f>"01-000539"</f>
        <v>01-000539</v>
      </c>
      <c r="U98" s="4" t="str">
        <f>"NCIA12038988"</f>
        <v>NCIA12038988</v>
      </c>
      <c r="V98" s="4" t="str">
        <f>""</f>
        <v/>
      </c>
      <c r="W98" s="4" t="s">
        <v>36</v>
      </c>
      <c r="X98" s="4" t="str">
        <f>"02MQ7"</f>
        <v>02MQ7</v>
      </c>
      <c r="Y98" s="4" t="str">
        <f>"11008-05067"</f>
        <v>11008-05067</v>
      </c>
      <c r="Z98" s="4" t="str">
        <f>""</f>
        <v/>
      </c>
      <c r="AA98" s="4" t="str">
        <f>""</f>
        <v/>
      </c>
      <c r="AB98" s="5">
        <v>44041</v>
      </c>
      <c r="AC98" s="4">
        <v>381.28</v>
      </c>
    </row>
    <row r="99" spans="1:29" ht="14.45" customHeight="1" x14ac:dyDescent="0.25">
      <c r="A99" s="4" t="s">
        <v>25</v>
      </c>
      <c r="B99" s="4" t="s">
        <v>139</v>
      </c>
      <c r="C99" s="4" t="s">
        <v>140</v>
      </c>
      <c r="D99" s="4" t="s">
        <v>28</v>
      </c>
      <c r="E99" s="4" t="s">
        <v>249</v>
      </c>
      <c r="F99" s="4" t="s">
        <v>250</v>
      </c>
      <c r="G99" s="4" t="s">
        <v>250</v>
      </c>
      <c r="H99" s="4" t="s">
        <v>251</v>
      </c>
      <c r="I99" s="4" t="s">
        <v>68</v>
      </c>
      <c r="J99" s="4" t="str">
        <f t="shared" ref="J99:J105" si="5">"5998SB0039087"</f>
        <v>5998SB0039087</v>
      </c>
      <c r="K99" s="4" t="s">
        <v>92</v>
      </c>
      <c r="L99" s="4" t="str">
        <f>""</f>
        <v/>
      </c>
      <c r="M99" s="4" t="str">
        <f>""</f>
        <v/>
      </c>
      <c r="N99" s="4" t="s">
        <v>34</v>
      </c>
      <c r="O99" s="3"/>
      <c r="P99" s="3"/>
      <c r="Q99" s="3"/>
      <c r="R99" s="4" t="s">
        <v>35</v>
      </c>
      <c r="S99" s="3"/>
      <c r="T99" s="4" t="str">
        <f>""</f>
        <v/>
      </c>
      <c r="U99" s="4" t="str">
        <f>"NCIA10371865"</f>
        <v>NCIA10371865</v>
      </c>
      <c r="V99" s="4" t="str">
        <f>"10PR00000522200067"</f>
        <v>10PR00000522200067</v>
      </c>
      <c r="W99" s="4" t="s">
        <v>36</v>
      </c>
      <c r="X99" s="4" t="str">
        <f t="shared" ref="X99:X105" si="6">"0VMZ0"</f>
        <v>0VMZ0</v>
      </c>
      <c r="Y99" s="4" t="str">
        <f t="shared" ref="Y99:Y105" si="7">"FMPE30.48G"</f>
        <v>FMPE30.48G</v>
      </c>
      <c r="Z99" s="4" t="str">
        <f>""</f>
        <v/>
      </c>
      <c r="AA99" s="4" t="str">
        <f>""</f>
        <v/>
      </c>
      <c r="AB99" s="5">
        <v>43465</v>
      </c>
      <c r="AC99" s="6">
        <v>3815914634146340</v>
      </c>
    </row>
    <row r="100" spans="1:29" ht="14.45" customHeight="1" x14ac:dyDescent="0.25">
      <c r="A100" s="4" t="s">
        <v>25</v>
      </c>
      <c r="B100" s="4" t="s">
        <v>139</v>
      </c>
      <c r="C100" s="4" t="s">
        <v>140</v>
      </c>
      <c r="D100" s="4" t="s">
        <v>28</v>
      </c>
      <c r="E100" s="4" t="s">
        <v>249</v>
      </c>
      <c r="F100" s="4" t="s">
        <v>250</v>
      </c>
      <c r="G100" s="4" t="s">
        <v>250</v>
      </c>
      <c r="H100" s="4" t="s">
        <v>251</v>
      </c>
      <c r="I100" s="4" t="s">
        <v>68</v>
      </c>
      <c r="J100" s="4" t="str">
        <f t="shared" si="5"/>
        <v>5998SB0039087</v>
      </c>
      <c r="K100" s="4" t="s">
        <v>92</v>
      </c>
      <c r="L100" s="4" t="str">
        <f>""</f>
        <v/>
      </c>
      <c r="M100" s="4" t="str">
        <f>""</f>
        <v/>
      </c>
      <c r="N100" s="4" t="s">
        <v>34</v>
      </c>
      <c r="O100" s="3"/>
      <c r="P100" s="3"/>
      <c r="Q100" s="3"/>
      <c r="R100" s="4" t="s">
        <v>35</v>
      </c>
      <c r="S100" s="3"/>
      <c r="T100" s="4" t="str">
        <f>""</f>
        <v/>
      </c>
      <c r="U100" s="4" t="str">
        <f>"NCIA10371866"</f>
        <v>NCIA10371866</v>
      </c>
      <c r="V100" s="4" t="str">
        <f>"10PR00000522200076"</f>
        <v>10PR00000522200076</v>
      </c>
      <c r="W100" s="4" t="s">
        <v>36</v>
      </c>
      <c r="X100" s="4" t="str">
        <f t="shared" si="6"/>
        <v>0VMZ0</v>
      </c>
      <c r="Y100" s="4" t="str">
        <f t="shared" si="7"/>
        <v>FMPE30.48G</v>
      </c>
      <c r="Z100" s="4" t="str">
        <f>""</f>
        <v/>
      </c>
      <c r="AA100" s="4" t="str">
        <f>""</f>
        <v/>
      </c>
      <c r="AB100" s="5">
        <v>43465</v>
      </c>
      <c r="AC100" s="6">
        <v>3815914634146340</v>
      </c>
    </row>
    <row r="101" spans="1:29" ht="14.45" customHeight="1" x14ac:dyDescent="0.25">
      <c r="A101" s="4" t="s">
        <v>25</v>
      </c>
      <c r="B101" s="4" t="s">
        <v>139</v>
      </c>
      <c r="C101" s="4" t="s">
        <v>140</v>
      </c>
      <c r="D101" s="4" t="s">
        <v>28</v>
      </c>
      <c r="E101" s="4" t="s">
        <v>249</v>
      </c>
      <c r="F101" s="4" t="s">
        <v>250</v>
      </c>
      <c r="G101" s="4" t="s">
        <v>250</v>
      </c>
      <c r="H101" s="4" t="s">
        <v>251</v>
      </c>
      <c r="I101" s="4" t="s">
        <v>68</v>
      </c>
      <c r="J101" s="4" t="str">
        <f t="shared" si="5"/>
        <v>5998SB0039087</v>
      </c>
      <c r="K101" s="4" t="s">
        <v>92</v>
      </c>
      <c r="L101" s="4" t="str">
        <f>""</f>
        <v/>
      </c>
      <c r="M101" s="4" t="str">
        <f>""</f>
        <v/>
      </c>
      <c r="N101" s="4" t="s">
        <v>34</v>
      </c>
      <c r="O101" s="3"/>
      <c r="P101" s="3"/>
      <c r="Q101" s="3"/>
      <c r="R101" s="4" t="s">
        <v>35</v>
      </c>
      <c r="S101" s="3"/>
      <c r="T101" s="4" t="str">
        <f>""</f>
        <v/>
      </c>
      <c r="U101" s="4" t="str">
        <f>"NCIA10371867"</f>
        <v>NCIA10371867</v>
      </c>
      <c r="V101" s="4" t="str">
        <f>"10PR00000822200039"</f>
        <v>10PR00000822200039</v>
      </c>
      <c r="W101" s="4" t="s">
        <v>36</v>
      </c>
      <c r="X101" s="4" t="str">
        <f t="shared" si="6"/>
        <v>0VMZ0</v>
      </c>
      <c r="Y101" s="4" t="str">
        <f t="shared" si="7"/>
        <v>FMPE30.48G</v>
      </c>
      <c r="Z101" s="4" t="str">
        <f>""</f>
        <v/>
      </c>
      <c r="AA101" s="4" t="str">
        <f>""</f>
        <v/>
      </c>
      <c r="AB101" s="5">
        <v>43465</v>
      </c>
      <c r="AC101" s="6">
        <v>3815914634146340</v>
      </c>
    </row>
    <row r="102" spans="1:29" ht="14.45" customHeight="1" x14ac:dyDescent="0.25">
      <c r="A102" s="4" t="s">
        <v>25</v>
      </c>
      <c r="B102" s="4" t="s">
        <v>139</v>
      </c>
      <c r="C102" s="4" t="s">
        <v>140</v>
      </c>
      <c r="D102" s="4" t="s">
        <v>28</v>
      </c>
      <c r="E102" s="4" t="s">
        <v>249</v>
      </c>
      <c r="F102" s="4" t="s">
        <v>250</v>
      </c>
      <c r="G102" s="4" t="s">
        <v>250</v>
      </c>
      <c r="H102" s="4" t="s">
        <v>251</v>
      </c>
      <c r="I102" s="4" t="s">
        <v>68</v>
      </c>
      <c r="J102" s="4" t="str">
        <f t="shared" si="5"/>
        <v>5998SB0039087</v>
      </c>
      <c r="K102" s="4" t="s">
        <v>92</v>
      </c>
      <c r="L102" s="4" t="str">
        <f>""</f>
        <v/>
      </c>
      <c r="M102" s="4" t="str">
        <f>""</f>
        <v/>
      </c>
      <c r="N102" s="4" t="s">
        <v>34</v>
      </c>
      <c r="O102" s="3"/>
      <c r="P102" s="3"/>
      <c r="Q102" s="3"/>
      <c r="R102" s="4" t="s">
        <v>35</v>
      </c>
      <c r="S102" s="3"/>
      <c r="T102" s="4" t="str">
        <f>""</f>
        <v/>
      </c>
      <c r="U102" s="4" t="str">
        <f>"NCIA10371868"</f>
        <v>NCIA10371868</v>
      </c>
      <c r="V102" s="4" t="str">
        <f>"10PR00000822200029"</f>
        <v>10PR00000822200029</v>
      </c>
      <c r="W102" s="4" t="s">
        <v>36</v>
      </c>
      <c r="X102" s="4" t="str">
        <f t="shared" si="6"/>
        <v>0VMZ0</v>
      </c>
      <c r="Y102" s="4" t="str">
        <f t="shared" si="7"/>
        <v>FMPE30.48G</v>
      </c>
      <c r="Z102" s="4" t="str">
        <f>""</f>
        <v/>
      </c>
      <c r="AA102" s="4" t="str">
        <f>""</f>
        <v/>
      </c>
      <c r="AB102" s="5">
        <v>43465</v>
      </c>
      <c r="AC102" s="6">
        <v>3815914634146340</v>
      </c>
    </row>
    <row r="103" spans="1:29" ht="14.45" customHeight="1" x14ac:dyDescent="0.25">
      <c r="A103" s="4" t="s">
        <v>25</v>
      </c>
      <c r="B103" s="4" t="s">
        <v>139</v>
      </c>
      <c r="C103" s="4" t="s">
        <v>140</v>
      </c>
      <c r="D103" s="4" t="s">
        <v>28</v>
      </c>
      <c r="E103" s="4" t="s">
        <v>249</v>
      </c>
      <c r="F103" s="4" t="s">
        <v>250</v>
      </c>
      <c r="G103" s="4" t="s">
        <v>250</v>
      </c>
      <c r="H103" s="4" t="s">
        <v>251</v>
      </c>
      <c r="I103" s="4" t="s">
        <v>68</v>
      </c>
      <c r="J103" s="4" t="str">
        <f t="shared" si="5"/>
        <v>5998SB0039087</v>
      </c>
      <c r="K103" s="4" t="s">
        <v>92</v>
      </c>
      <c r="L103" s="4" t="str">
        <f>""</f>
        <v/>
      </c>
      <c r="M103" s="4" t="str">
        <f>""</f>
        <v/>
      </c>
      <c r="N103" s="4" t="s">
        <v>34</v>
      </c>
      <c r="O103" s="3"/>
      <c r="P103" s="3"/>
      <c r="Q103" s="3"/>
      <c r="R103" s="4" t="s">
        <v>35</v>
      </c>
      <c r="S103" s="3"/>
      <c r="T103" s="4" t="str">
        <f>""</f>
        <v/>
      </c>
      <c r="U103" s="4" t="str">
        <f>"NCIA10371869"</f>
        <v>NCIA10371869</v>
      </c>
      <c r="V103" s="4" t="str">
        <f>"10PR00000822200011"</f>
        <v>10PR00000822200011</v>
      </c>
      <c r="W103" s="4" t="s">
        <v>36</v>
      </c>
      <c r="X103" s="4" t="str">
        <f t="shared" si="6"/>
        <v>0VMZ0</v>
      </c>
      <c r="Y103" s="4" t="str">
        <f t="shared" si="7"/>
        <v>FMPE30.48G</v>
      </c>
      <c r="Z103" s="4" t="str">
        <f>""</f>
        <v/>
      </c>
      <c r="AA103" s="4" t="str">
        <f>""</f>
        <v/>
      </c>
      <c r="AB103" s="5">
        <v>43465</v>
      </c>
      <c r="AC103" s="6">
        <v>3815914634146340</v>
      </c>
    </row>
    <row r="104" spans="1:29" ht="14.45" customHeight="1" x14ac:dyDescent="0.25">
      <c r="A104" s="4" t="s">
        <v>25</v>
      </c>
      <c r="B104" s="4" t="s">
        <v>139</v>
      </c>
      <c r="C104" s="4" t="s">
        <v>140</v>
      </c>
      <c r="D104" s="4" t="s">
        <v>28</v>
      </c>
      <c r="E104" s="4" t="s">
        <v>249</v>
      </c>
      <c r="F104" s="4" t="s">
        <v>250</v>
      </c>
      <c r="G104" s="4" t="s">
        <v>250</v>
      </c>
      <c r="H104" s="4" t="s">
        <v>251</v>
      </c>
      <c r="I104" s="4" t="s">
        <v>68</v>
      </c>
      <c r="J104" s="4" t="str">
        <f t="shared" si="5"/>
        <v>5998SB0039087</v>
      </c>
      <c r="K104" s="4" t="s">
        <v>92</v>
      </c>
      <c r="L104" s="4" t="str">
        <f>""</f>
        <v/>
      </c>
      <c r="M104" s="4" t="str">
        <f>""</f>
        <v/>
      </c>
      <c r="N104" s="4" t="s">
        <v>34</v>
      </c>
      <c r="O104" s="3"/>
      <c r="P104" s="3"/>
      <c r="Q104" s="3"/>
      <c r="R104" s="4" t="s">
        <v>35</v>
      </c>
      <c r="S104" s="3"/>
      <c r="T104" s="4" t="str">
        <f>""</f>
        <v/>
      </c>
      <c r="U104" s="4" t="str">
        <f>"NCIA10371870"</f>
        <v>NCIA10371870</v>
      </c>
      <c r="V104" s="4" t="str">
        <f>"10PR00000722200010"</f>
        <v>10PR00000722200010</v>
      </c>
      <c r="W104" s="4" t="s">
        <v>36</v>
      </c>
      <c r="X104" s="4" t="str">
        <f t="shared" si="6"/>
        <v>0VMZ0</v>
      </c>
      <c r="Y104" s="4" t="str">
        <f t="shared" si="7"/>
        <v>FMPE30.48G</v>
      </c>
      <c r="Z104" s="4" t="str">
        <f>""</f>
        <v/>
      </c>
      <c r="AA104" s="4" t="str">
        <f>""</f>
        <v/>
      </c>
      <c r="AB104" s="5">
        <v>43465</v>
      </c>
      <c r="AC104" s="6">
        <v>3815914634146340</v>
      </c>
    </row>
    <row r="105" spans="1:29" ht="14.45" customHeight="1" x14ac:dyDescent="0.25">
      <c r="A105" s="4" t="s">
        <v>25</v>
      </c>
      <c r="B105" s="4" t="s">
        <v>139</v>
      </c>
      <c r="C105" s="4" t="s">
        <v>140</v>
      </c>
      <c r="D105" s="4" t="s">
        <v>28</v>
      </c>
      <c r="E105" s="4" t="s">
        <v>249</v>
      </c>
      <c r="F105" s="4" t="s">
        <v>250</v>
      </c>
      <c r="G105" s="4" t="s">
        <v>250</v>
      </c>
      <c r="H105" s="4" t="s">
        <v>251</v>
      </c>
      <c r="I105" s="4" t="s">
        <v>68</v>
      </c>
      <c r="J105" s="4" t="str">
        <f t="shared" si="5"/>
        <v>5998SB0039087</v>
      </c>
      <c r="K105" s="4" t="s">
        <v>92</v>
      </c>
      <c r="L105" s="4" t="str">
        <f>""</f>
        <v/>
      </c>
      <c r="M105" s="4" t="str">
        <f>""</f>
        <v/>
      </c>
      <c r="N105" s="4" t="s">
        <v>34</v>
      </c>
      <c r="O105" s="3"/>
      <c r="P105" s="3"/>
      <c r="Q105" s="3"/>
      <c r="R105" s="4" t="s">
        <v>35</v>
      </c>
      <c r="S105" s="3"/>
      <c r="T105" s="4" t="str">
        <f>""</f>
        <v/>
      </c>
      <c r="U105" s="4" t="str">
        <f>"NCIA10371871"</f>
        <v>NCIA10371871</v>
      </c>
      <c r="V105" s="4" t="str">
        <f>"10PR00000722200065"</f>
        <v>10PR00000722200065</v>
      </c>
      <c r="W105" s="4" t="s">
        <v>36</v>
      </c>
      <c r="X105" s="4" t="str">
        <f t="shared" si="6"/>
        <v>0VMZ0</v>
      </c>
      <c r="Y105" s="4" t="str">
        <f t="shared" si="7"/>
        <v>FMPE30.48G</v>
      </c>
      <c r="Z105" s="4" t="str">
        <f>""</f>
        <v/>
      </c>
      <c r="AA105" s="4" t="str">
        <f>""</f>
        <v/>
      </c>
      <c r="AB105" s="5">
        <v>43465</v>
      </c>
      <c r="AC105" s="6">
        <v>3815914634146340</v>
      </c>
    </row>
    <row r="106" spans="1:29" ht="14.45" customHeight="1" x14ac:dyDescent="0.25">
      <c r="A106" s="4" t="s">
        <v>25</v>
      </c>
      <c r="B106" s="4" t="s">
        <v>139</v>
      </c>
      <c r="C106" s="4" t="s">
        <v>140</v>
      </c>
      <c r="D106" s="4" t="s">
        <v>28</v>
      </c>
      <c r="E106" s="4" t="s">
        <v>249</v>
      </c>
      <c r="F106" s="4" t="s">
        <v>250</v>
      </c>
      <c r="G106" s="4" t="s">
        <v>250</v>
      </c>
      <c r="H106" s="4" t="s">
        <v>251</v>
      </c>
      <c r="I106" s="4" t="s">
        <v>37</v>
      </c>
      <c r="J106" s="4" t="str">
        <f>"5998SB0043291"</f>
        <v>5998SB0043291</v>
      </c>
      <c r="K106" s="4" t="s">
        <v>284</v>
      </c>
      <c r="L106" s="4" t="str">
        <f>""</f>
        <v/>
      </c>
      <c r="M106" s="4" t="str">
        <f>""</f>
        <v/>
      </c>
      <c r="N106" s="4" t="s">
        <v>34</v>
      </c>
      <c r="O106" s="3"/>
      <c r="P106" s="3"/>
      <c r="Q106" s="3"/>
      <c r="R106" s="4" t="s">
        <v>35</v>
      </c>
      <c r="S106" s="3"/>
      <c r="T106" s="4" t="str">
        <f>""</f>
        <v/>
      </c>
      <c r="U106" s="4" t="str">
        <f>"NCIA12038993"</f>
        <v>NCIA12038993</v>
      </c>
      <c r="V106" s="4" t="str">
        <f>"1AAA560335"</f>
        <v>1AAA560335</v>
      </c>
      <c r="W106" s="4" t="s">
        <v>36</v>
      </c>
      <c r="X106" s="4" t="str">
        <f>"02MQ7"</f>
        <v>02MQ7</v>
      </c>
      <c r="Y106" s="4" t="str">
        <f>"ADAM-6050"</f>
        <v>ADAM-6050</v>
      </c>
      <c r="Z106" s="4" t="str">
        <f>""</f>
        <v/>
      </c>
      <c r="AA106" s="4" t="str">
        <f>""</f>
        <v/>
      </c>
      <c r="AB106" s="5">
        <v>44041</v>
      </c>
      <c r="AC106" s="4">
        <v>547.88</v>
      </c>
    </row>
    <row r="107" spans="1:29" ht="14.45" customHeight="1" x14ac:dyDescent="0.25">
      <c r="A107" s="4" t="s">
        <v>25</v>
      </c>
      <c r="B107" s="4" t="s">
        <v>139</v>
      </c>
      <c r="C107" s="4" t="s">
        <v>140</v>
      </c>
      <c r="D107" s="4" t="s">
        <v>28</v>
      </c>
      <c r="E107" s="4" t="s">
        <v>249</v>
      </c>
      <c r="F107" s="4" t="s">
        <v>250</v>
      </c>
      <c r="G107" s="4" t="s">
        <v>250</v>
      </c>
      <c r="H107" s="4" t="s">
        <v>251</v>
      </c>
      <c r="I107" s="4" t="s">
        <v>37</v>
      </c>
      <c r="J107" s="4" t="str">
        <f>"5998SB0045219"</f>
        <v>5998SB0045219</v>
      </c>
      <c r="K107" s="4" t="s">
        <v>285</v>
      </c>
      <c r="L107" s="4" t="str">
        <f>""</f>
        <v/>
      </c>
      <c r="M107" s="4" t="str">
        <f>""</f>
        <v/>
      </c>
      <c r="N107" s="4" t="s">
        <v>34</v>
      </c>
      <c r="O107" s="3"/>
      <c r="P107" s="3"/>
      <c r="Q107" s="3"/>
      <c r="R107" s="4" t="s">
        <v>35</v>
      </c>
      <c r="S107" s="3"/>
      <c r="T107" s="4" t="str">
        <f>""</f>
        <v/>
      </c>
      <c r="U107" s="4" t="str">
        <f>"NCIA12000230"</f>
        <v>NCIA12000230</v>
      </c>
      <c r="V107" s="4" t="str">
        <f>"744"</f>
        <v>744</v>
      </c>
      <c r="W107" s="4" t="s">
        <v>36</v>
      </c>
      <c r="X107" s="4" t="str">
        <f>"02MQ7"</f>
        <v>02MQ7</v>
      </c>
      <c r="Y107" s="4" t="str">
        <f>"01-000399-002"</f>
        <v>01-000399-002</v>
      </c>
      <c r="Z107" s="4" t="str">
        <f>""</f>
        <v/>
      </c>
      <c r="AA107" s="4" t="str">
        <f>""</f>
        <v/>
      </c>
      <c r="AB107" s="5">
        <v>43537</v>
      </c>
      <c r="AC107" s="4">
        <v>3818.68</v>
      </c>
    </row>
    <row r="108" spans="1:29" ht="14.45" customHeight="1" x14ac:dyDescent="0.25">
      <c r="A108" s="4" t="s">
        <v>25</v>
      </c>
      <c r="B108" s="4" t="s">
        <v>139</v>
      </c>
      <c r="C108" s="4" t="s">
        <v>140</v>
      </c>
      <c r="D108" s="4" t="s">
        <v>28</v>
      </c>
      <c r="E108" s="4" t="s">
        <v>249</v>
      </c>
      <c r="F108" s="4" t="s">
        <v>250</v>
      </c>
      <c r="G108" s="4" t="s">
        <v>250</v>
      </c>
      <c r="H108" s="4" t="s">
        <v>251</v>
      </c>
      <c r="I108" s="4" t="s">
        <v>37</v>
      </c>
      <c r="J108" s="4" t="str">
        <f>"5998SB0045219"</f>
        <v>5998SB0045219</v>
      </c>
      <c r="K108" s="4" t="s">
        <v>285</v>
      </c>
      <c r="L108" s="4" t="str">
        <f>""</f>
        <v/>
      </c>
      <c r="M108" s="4" t="str">
        <f>""</f>
        <v/>
      </c>
      <c r="N108" s="4" t="s">
        <v>34</v>
      </c>
      <c r="O108" s="3"/>
      <c r="P108" s="3"/>
      <c r="Q108" s="3"/>
      <c r="R108" s="4" t="s">
        <v>35</v>
      </c>
      <c r="S108" s="3"/>
      <c r="T108" s="4" t="str">
        <f>""</f>
        <v/>
      </c>
      <c r="U108" s="4" t="str">
        <f>"NCIA12039009"</f>
        <v>NCIA12039009</v>
      </c>
      <c r="V108" s="4" t="str">
        <f>"794"</f>
        <v>794</v>
      </c>
      <c r="W108" s="4" t="s">
        <v>36</v>
      </c>
      <c r="X108" s="4" t="str">
        <f>"02MQ7"</f>
        <v>02MQ7</v>
      </c>
      <c r="Y108" s="4" t="str">
        <f>"01-000399-002"</f>
        <v>01-000399-002</v>
      </c>
      <c r="Z108" s="4" t="str">
        <f>""</f>
        <v/>
      </c>
      <c r="AA108" s="4" t="str">
        <f>""</f>
        <v/>
      </c>
      <c r="AB108" s="5">
        <v>44041</v>
      </c>
      <c r="AC108" s="4">
        <v>3718.71</v>
      </c>
    </row>
    <row r="109" spans="1:29" ht="14.45" customHeight="1" x14ac:dyDescent="0.25">
      <c r="A109" s="4" t="s">
        <v>25</v>
      </c>
      <c r="B109" s="4" t="s">
        <v>139</v>
      </c>
      <c r="C109" s="4" t="s">
        <v>140</v>
      </c>
      <c r="D109" s="4" t="s">
        <v>28</v>
      </c>
      <c r="E109" s="4" t="s">
        <v>249</v>
      </c>
      <c r="F109" s="4" t="s">
        <v>250</v>
      </c>
      <c r="G109" s="4" t="s">
        <v>250</v>
      </c>
      <c r="H109" s="4" t="s">
        <v>251</v>
      </c>
      <c r="I109" s="4" t="s">
        <v>37</v>
      </c>
      <c r="J109" s="4" t="str">
        <f>"5998SB0058606"</f>
        <v>5998SB0058606</v>
      </c>
      <c r="K109" s="4" t="s">
        <v>286</v>
      </c>
      <c r="L109" s="4" t="str">
        <f>""</f>
        <v/>
      </c>
      <c r="M109" s="4" t="str">
        <f>""</f>
        <v/>
      </c>
      <c r="N109" s="4" t="s">
        <v>34</v>
      </c>
      <c r="O109" s="3"/>
      <c r="P109" s="3"/>
      <c r="Q109" s="3"/>
      <c r="R109" s="4" t="s">
        <v>35</v>
      </c>
      <c r="S109" s="3"/>
      <c r="T109" s="4" t="str">
        <f>""</f>
        <v/>
      </c>
      <c r="U109" s="4" t="str">
        <f>"NCIA12038989"</f>
        <v>NCIA12038989</v>
      </c>
      <c r="V109" s="4" t="str">
        <f>""</f>
        <v/>
      </c>
      <c r="W109" s="4" t="s">
        <v>36</v>
      </c>
      <c r="X109" s="4" t="str">
        <f>"02MQ7"</f>
        <v>02MQ7</v>
      </c>
      <c r="Y109" s="4" t="str">
        <f>"01-000703"</f>
        <v>01-000703</v>
      </c>
      <c r="Z109" s="4" t="str">
        <f>""</f>
        <v/>
      </c>
      <c r="AA109" s="4" t="str">
        <f>""</f>
        <v/>
      </c>
      <c r="AB109" s="5">
        <v>44041</v>
      </c>
      <c r="AC109" s="4">
        <v>954.67</v>
      </c>
    </row>
    <row r="110" spans="1:29" ht="14.45" customHeight="1" x14ac:dyDescent="0.25">
      <c r="A110" s="4" t="s">
        <v>25</v>
      </c>
      <c r="B110" s="4" t="s">
        <v>139</v>
      </c>
      <c r="C110" s="4" t="s">
        <v>140</v>
      </c>
      <c r="D110" s="4" t="s">
        <v>28</v>
      </c>
      <c r="E110" s="4" t="s">
        <v>249</v>
      </c>
      <c r="F110" s="4" t="s">
        <v>250</v>
      </c>
      <c r="G110" s="4" t="s">
        <v>250</v>
      </c>
      <c r="H110" s="4" t="s">
        <v>251</v>
      </c>
      <c r="I110" s="4" t="s">
        <v>37</v>
      </c>
      <c r="J110" s="4" t="str">
        <f>"5998SB0058611"</f>
        <v>5998SB0058611</v>
      </c>
      <c r="K110" s="4" t="s">
        <v>287</v>
      </c>
      <c r="L110" s="4" t="str">
        <f>""</f>
        <v/>
      </c>
      <c r="M110" s="4" t="str">
        <f>""</f>
        <v/>
      </c>
      <c r="N110" s="4" t="s">
        <v>34</v>
      </c>
      <c r="O110" s="3"/>
      <c r="P110" s="3"/>
      <c r="Q110" s="3"/>
      <c r="R110" s="4" t="s">
        <v>35</v>
      </c>
      <c r="S110" s="3"/>
      <c r="T110" s="4" t="str">
        <f>""</f>
        <v/>
      </c>
      <c r="U110" s="4" t="str">
        <f>"NCIA12038990"</f>
        <v>NCIA12038990</v>
      </c>
      <c r="V110" s="4" t="str">
        <f>""</f>
        <v/>
      </c>
      <c r="W110" s="4" t="s">
        <v>36</v>
      </c>
      <c r="X110" s="4" t="str">
        <f>"02MQ7"</f>
        <v>02MQ7</v>
      </c>
      <c r="Y110" s="4" t="str">
        <f>"01-000702"</f>
        <v>01-000702</v>
      </c>
      <c r="Z110" s="4" t="str">
        <f>""</f>
        <v/>
      </c>
      <c r="AA110" s="4" t="str">
        <f>""</f>
        <v/>
      </c>
      <c r="AB110" s="5">
        <v>44041</v>
      </c>
      <c r="AC110" s="4">
        <v>1946.06</v>
      </c>
    </row>
    <row r="111" spans="1:29" ht="14.45" customHeight="1" x14ac:dyDescent="0.25">
      <c r="A111" s="4" t="s">
        <v>25</v>
      </c>
      <c r="B111" s="4" t="s">
        <v>139</v>
      </c>
      <c r="C111" s="4" t="s">
        <v>140</v>
      </c>
      <c r="D111" s="4" t="s">
        <v>28</v>
      </c>
      <c r="E111" s="4" t="s">
        <v>249</v>
      </c>
      <c r="F111" s="4" t="s">
        <v>250</v>
      </c>
      <c r="G111" s="4" t="s">
        <v>250</v>
      </c>
      <c r="H111" s="4" t="s">
        <v>251</v>
      </c>
      <c r="I111" s="4" t="s">
        <v>56</v>
      </c>
      <c r="J111" s="4" t="str">
        <f>"5999SB0002982"</f>
        <v>5999SB0002982</v>
      </c>
      <c r="K111" s="4" t="s">
        <v>94</v>
      </c>
      <c r="L111" s="4" t="str">
        <f>""</f>
        <v/>
      </c>
      <c r="M111" s="4" t="str">
        <f>""</f>
        <v/>
      </c>
      <c r="N111" s="4" t="s">
        <v>34</v>
      </c>
      <c r="O111" s="3"/>
      <c r="P111" s="3"/>
      <c r="Q111" s="3"/>
      <c r="R111" s="4" t="s">
        <v>35</v>
      </c>
      <c r="S111" s="3"/>
      <c r="T111" s="4" t="str">
        <f>"12719-500"</f>
        <v>12719-500</v>
      </c>
      <c r="U111" s="4" t="str">
        <f>"01-113967"</f>
        <v>01-113967</v>
      </c>
      <c r="V111" s="4" t="str">
        <f>"12719-006"</f>
        <v>12719-006</v>
      </c>
      <c r="W111" s="4" t="s">
        <v>36</v>
      </c>
      <c r="X111" s="4" t="str">
        <f>"53263"</f>
        <v>53263</v>
      </c>
      <c r="Y111" s="4" t="str">
        <f>"12719-500"</f>
        <v>12719-500</v>
      </c>
      <c r="Z111" s="4" t="str">
        <f>""</f>
        <v/>
      </c>
      <c r="AA111" s="4" t="str">
        <f>""</f>
        <v/>
      </c>
      <c r="AB111" s="5">
        <v>43465</v>
      </c>
      <c r="AC111" s="4">
        <v>0</v>
      </c>
    </row>
    <row r="112" spans="1:29" ht="14.45" customHeight="1" x14ac:dyDescent="0.25">
      <c r="A112" s="4" t="s">
        <v>25</v>
      </c>
      <c r="B112" s="4" t="s">
        <v>139</v>
      </c>
      <c r="C112" s="4" t="s">
        <v>140</v>
      </c>
      <c r="D112" s="4" t="s">
        <v>28</v>
      </c>
      <c r="E112" s="4" t="s">
        <v>249</v>
      </c>
      <c r="F112" s="4" t="s">
        <v>250</v>
      </c>
      <c r="G112" s="4" t="s">
        <v>250</v>
      </c>
      <c r="H112" s="4" t="s">
        <v>251</v>
      </c>
      <c r="I112" s="4" t="s">
        <v>59</v>
      </c>
      <c r="J112" s="4" t="str">
        <f>"5999SB0002988"</f>
        <v>5999SB0002988</v>
      </c>
      <c r="K112" s="4" t="s">
        <v>288</v>
      </c>
      <c r="L112" s="4" t="str">
        <f>""</f>
        <v/>
      </c>
      <c r="M112" s="4" t="str">
        <f>""</f>
        <v/>
      </c>
      <c r="N112" s="4" t="s">
        <v>34</v>
      </c>
      <c r="O112" s="3"/>
      <c r="P112" s="3"/>
      <c r="Q112" s="3"/>
      <c r="R112" s="4" t="s">
        <v>35</v>
      </c>
      <c r="S112" s="3"/>
      <c r="T112" s="4" t="str">
        <f>"10537-06077"</f>
        <v>10537-06077</v>
      </c>
      <c r="U112" s="4" t="str">
        <f>"NCIAX11191306"</f>
        <v>NCIAX11191306</v>
      </c>
      <c r="V112" s="4" t="str">
        <f>""</f>
        <v/>
      </c>
      <c r="W112" s="4" t="s">
        <v>36</v>
      </c>
      <c r="X112" s="4" t="str">
        <f>"02MQ7"</f>
        <v>02MQ7</v>
      </c>
      <c r="Y112" s="4" t="str">
        <f>"10537-06077"</f>
        <v>10537-06077</v>
      </c>
      <c r="Z112" s="4" t="str">
        <f>""</f>
        <v/>
      </c>
      <c r="AA112" s="4" t="str">
        <f>""</f>
        <v/>
      </c>
      <c r="AB112" s="5">
        <v>43465</v>
      </c>
      <c r="AC112" s="4">
        <v>0</v>
      </c>
    </row>
    <row r="113" spans="1:29" ht="14.45" customHeight="1" x14ac:dyDescent="0.25">
      <c r="A113" s="4" t="s">
        <v>25</v>
      </c>
      <c r="B113" s="4" t="s">
        <v>139</v>
      </c>
      <c r="C113" s="4" t="s">
        <v>140</v>
      </c>
      <c r="D113" s="4" t="s">
        <v>28</v>
      </c>
      <c r="E113" s="4" t="s">
        <v>249</v>
      </c>
      <c r="F113" s="4" t="s">
        <v>250</v>
      </c>
      <c r="G113" s="4" t="s">
        <v>250</v>
      </c>
      <c r="H113" s="4" t="s">
        <v>251</v>
      </c>
      <c r="I113" s="4" t="s">
        <v>289</v>
      </c>
      <c r="J113" s="4" t="str">
        <f>"5999SB0003383"</f>
        <v>5999SB0003383</v>
      </c>
      <c r="K113" s="4" t="s">
        <v>290</v>
      </c>
      <c r="L113" s="4" t="str">
        <f>""</f>
        <v/>
      </c>
      <c r="M113" s="4" t="str">
        <f>""</f>
        <v/>
      </c>
      <c r="N113" s="4" t="s">
        <v>34</v>
      </c>
      <c r="O113" s="3"/>
      <c r="P113" s="3"/>
      <c r="Q113" s="3"/>
      <c r="R113" s="4" t="s">
        <v>35</v>
      </c>
      <c r="S113" s="3"/>
      <c r="T113" s="4" t="str">
        <f>"99-261-3004-01"</f>
        <v>99-261-3004-01</v>
      </c>
      <c r="U113" s="4" t="str">
        <f>"01-128680"</f>
        <v>01-128680</v>
      </c>
      <c r="V113" s="4" t="str">
        <f>"818"</f>
        <v>818</v>
      </c>
      <c r="W113" s="4" t="s">
        <v>36</v>
      </c>
      <c r="X113" s="4" t="str">
        <f>"0P0N7"</f>
        <v>0P0N7</v>
      </c>
      <c r="Y113" s="4" t="str">
        <f>"99-261-3004-01"</f>
        <v>99-261-3004-01</v>
      </c>
      <c r="Z113" s="4" t="str">
        <f>""</f>
        <v/>
      </c>
      <c r="AA113" s="4" t="str">
        <f>""</f>
        <v/>
      </c>
      <c r="AB113" s="5">
        <v>43465</v>
      </c>
      <c r="AC113" s="6">
        <v>2.85433666666666E+16</v>
      </c>
    </row>
    <row r="114" spans="1:29" ht="14.45" customHeight="1" x14ac:dyDescent="0.25">
      <c r="A114" s="4" t="s">
        <v>25</v>
      </c>
      <c r="B114" s="4" t="s">
        <v>139</v>
      </c>
      <c r="C114" s="4" t="s">
        <v>140</v>
      </c>
      <c r="D114" s="4" t="s">
        <v>28</v>
      </c>
      <c r="E114" s="4" t="s">
        <v>249</v>
      </c>
      <c r="F114" s="4" t="s">
        <v>250</v>
      </c>
      <c r="G114" s="4" t="s">
        <v>250</v>
      </c>
      <c r="H114" s="4" t="s">
        <v>251</v>
      </c>
      <c r="I114" s="4" t="s">
        <v>95</v>
      </c>
      <c r="J114" s="4" t="str">
        <f>"5999SB0003917"</f>
        <v>5999SB0003917</v>
      </c>
      <c r="K114" s="4" t="s">
        <v>96</v>
      </c>
      <c r="L114" s="4" t="str">
        <f>""</f>
        <v/>
      </c>
      <c r="M114" s="4" t="str">
        <f>""</f>
        <v/>
      </c>
      <c r="N114" s="4" t="s">
        <v>34</v>
      </c>
      <c r="O114" s="3"/>
      <c r="P114" s="3"/>
      <c r="Q114" s="3"/>
      <c r="R114" s="4" t="s">
        <v>35</v>
      </c>
      <c r="S114" s="3"/>
      <c r="T114" s="4" t="str">
        <f>"SMHN-1671"</f>
        <v>SMHN-1671</v>
      </c>
      <c r="U114" s="4" t="str">
        <f>"03-117058"</f>
        <v>03-117058</v>
      </c>
      <c r="V114" s="4" t="str">
        <f>"027"</f>
        <v>027</v>
      </c>
      <c r="W114" s="4" t="s">
        <v>36</v>
      </c>
      <c r="X114" s="4" t="str">
        <f>"53263"</f>
        <v>53263</v>
      </c>
      <c r="Y114" s="4" t="str">
        <f>"SMHN-1671"</f>
        <v>SMHN-1671</v>
      </c>
      <c r="Z114" s="4" t="str">
        <f>""</f>
        <v/>
      </c>
      <c r="AA114" s="4" t="str">
        <f>""</f>
        <v/>
      </c>
      <c r="AB114" s="5">
        <v>43465</v>
      </c>
      <c r="AC114" s="4">
        <v>2752</v>
      </c>
    </row>
    <row r="115" spans="1:29" ht="14.45" customHeight="1" x14ac:dyDescent="0.25">
      <c r="A115" s="4" t="s">
        <v>25</v>
      </c>
      <c r="B115" s="4" t="s">
        <v>139</v>
      </c>
      <c r="C115" s="4" t="s">
        <v>140</v>
      </c>
      <c r="D115" s="4" t="s">
        <v>28</v>
      </c>
      <c r="E115" s="4" t="s">
        <v>249</v>
      </c>
      <c r="F115" s="4" t="s">
        <v>250</v>
      </c>
      <c r="G115" s="4" t="s">
        <v>250</v>
      </c>
      <c r="H115" s="4" t="s">
        <v>251</v>
      </c>
      <c r="I115" s="4" t="s">
        <v>32</v>
      </c>
      <c r="J115" s="4" t="str">
        <f>"5999SB0017632"</f>
        <v>5999SB0017632</v>
      </c>
      <c r="K115" s="4" t="s">
        <v>291</v>
      </c>
      <c r="L115" s="4" t="str">
        <f>""</f>
        <v/>
      </c>
      <c r="M115" s="4" t="str">
        <f>""</f>
        <v/>
      </c>
      <c r="N115" s="4" t="s">
        <v>34</v>
      </c>
      <c r="O115" s="3"/>
      <c r="P115" s="3"/>
      <c r="Q115" s="3"/>
      <c r="R115" s="4" t="s">
        <v>35</v>
      </c>
      <c r="S115" s="3"/>
      <c r="T115" s="4" t="str">
        <f>"027-589"</f>
        <v>027-589</v>
      </c>
      <c r="U115" s="4" t="str">
        <f>"01-113905"</f>
        <v>01-113905</v>
      </c>
      <c r="V115" s="4" t="str">
        <f>"V14470-027-589-09"</f>
        <v>V14470-027-589-09</v>
      </c>
      <c r="W115" s="4" t="s">
        <v>36</v>
      </c>
      <c r="X115" s="4" t="str">
        <f>"3G8X7"</f>
        <v>3G8X7</v>
      </c>
      <c r="Y115" s="4" t="str">
        <f>"027-589"</f>
        <v>027-589</v>
      </c>
      <c r="Z115" s="4" t="str">
        <f>""</f>
        <v/>
      </c>
      <c r="AA115" s="4" t="str">
        <f>""</f>
        <v/>
      </c>
      <c r="AB115" s="5">
        <v>43465</v>
      </c>
      <c r="AC115" s="6">
        <v>1.0388083459238E+16</v>
      </c>
    </row>
    <row r="116" spans="1:29" ht="14.45" customHeight="1" x14ac:dyDescent="0.25">
      <c r="A116" s="4" t="s">
        <v>25</v>
      </c>
      <c r="B116" s="4" t="s">
        <v>139</v>
      </c>
      <c r="C116" s="4" t="s">
        <v>140</v>
      </c>
      <c r="D116" s="4" t="s">
        <v>28</v>
      </c>
      <c r="E116" s="4" t="s">
        <v>249</v>
      </c>
      <c r="F116" s="4" t="s">
        <v>250</v>
      </c>
      <c r="G116" s="4" t="s">
        <v>250</v>
      </c>
      <c r="H116" s="4" t="s">
        <v>251</v>
      </c>
      <c r="I116" s="4" t="s">
        <v>37</v>
      </c>
      <c r="J116" s="4" t="str">
        <f>"5999SB0042510"</f>
        <v>5999SB0042510</v>
      </c>
      <c r="K116" s="4" t="s">
        <v>292</v>
      </c>
      <c r="L116" s="4" t="str">
        <f>""</f>
        <v/>
      </c>
      <c r="M116" s="4" t="str">
        <f>""</f>
        <v/>
      </c>
      <c r="N116" s="4" t="s">
        <v>34</v>
      </c>
      <c r="O116" s="3"/>
      <c r="P116" s="3"/>
      <c r="Q116" s="3"/>
      <c r="R116" s="4" t="s">
        <v>35</v>
      </c>
      <c r="S116" s="3"/>
      <c r="T116" s="4" t="str">
        <f>""</f>
        <v/>
      </c>
      <c r="U116" s="4" t="str">
        <f>"NCIA12039002"</f>
        <v>NCIA12039002</v>
      </c>
      <c r="V116" s="4" t="str">
        <f>""</f>
        <v/>
      </c>
      <c r="W116" s="4" t="s">
        <v>36</v>
      </c>
      <c r="X116" s="4" t="str">
        <f>"02MQ7"</f>
        <v>02MQ7</v>
      </c>
      <c r="Y116" s="4" t="str">
        <f>"11008-05027"</f>
        <v>11008-05027</v>
      </c>
      <c r="Z116" s="4" t="str">
        <f>""</f>
        <v/>
      </c>
      <c r="AA116" s="4" t="str">
        <f>""</f>
        <v/>
      </c>
      <c r="AB116" s="5">
        <v>44041</v>
      </c>
      <c r="AC116" s="4">
        <v>2397</v>
      </c>
    </row>
    <row r="117" spans="1:29" ht="14.45" customHeight="1" x14ac:dyDescent="0.25">
      <c r="A117" s="4" t="s">
        <v>25</v>
      </c>
      <c r="B117" s="4" t="s">
        <v>139</v>
      </c>
      <c r="C117" s="4" t="s">
        <v>140</v>
      </c>
      <c r="D117" s="4" t="s">
        <v>28</v>
      </c>
      <c r="E117" s="4" t="s">
        <v>249</v>
      </c>
      <c r="F117" s="4" t="s">
        <v>250</v>
      </c>
      <c r="G117" s="4" t="s">
        <v>250</v>
      </c>
      <c r="H117" s="4" t="s">
        <v>251</v>
      </c>
      <c r="I117" s="4" t="s">
        <v>51</v>
      </c>
      <c r="J117" s="4" t="str">
        <f>"6030SB0017538"</f>
        <v>6030SB0017538</v>
      </c>
      <c r="K117" s="4" t="s">
        <v>293</v>
      </c>
      <c r="L117" s="4" t="str">
        <f>""</f>
        <v/>
      </c>
      <c r="M117" s="4" t="str">
        <f>""</f>
        <v/>
      </c>
      <c r="N117" s="4" t="s">
        <v>34</v>
      </c>
      <c r="O117" s="3"/>
      <c r="P117" s="3"/>
      <c r="Q117" s="3"/>
      <c r="R117" s="4" t="s">
        <v>35</v>
      </c>
      <c r="S117" s="3"/>
      <c r="T117" s="4" t="str">
        <f>"30-1299-01"</f>
        <v>30-1299-01</v>
      </c>
      <c r="U117" s="4" t="str">
        <f>"01-114010"</f>
        <v>01-114010</v>
      </c>
      <c r="V117" s="4" t="str">
        <f>"AGC1321UCNJ"</f>
        <v>AGC1321UCNJ</v>
      </c>
      <c r="W117" s="4" t="s">
        <v>36</v>
      </c>
      <c r="X117" s="4" t="str">
        <f>"0GX96"</f>
        <v>0GX96</v>
      </c>
      <c r="Y117" s="4" t="str">
        <f>"30-1299-01"</f>
        <v>30-1299-01</v>
      </c>
      <c r="Z117" s="4" t="str">
        <f>""</f>
        <v/>
      </c>
      <c r="AA117" s="4" t="str">
        <f>""</f>
        <v/>
      </c>
      <c r="AB117" s="5">
        <v>43465</v>
      </c>
      <c r="AC117" s="6">
        <v>6567651407</v>
      </c>
    </row>
    <row r="118" spans="1:29" ht="14.45" customHeight="1" x14ac:dyDescent="0.25">
      <c r="A118" s="4" t="s">
        <v>25</v>
      </c>
      <c r="B118" s="4" t="s">
        <v>139</v>
      </c>
      <c r="C118" s="4" t="s">
        <v>140</v>
      </c>
      <c r="D118" s="4" t="s">
        <v>28</v>
      </c>
      <c r="E118" s="4" t="s">
        <v>249</v>
      </c>
      <c r="F118" s="4" t="s">
        <v>250</v>
      </c>
      <c r="G118" s="4" t="s">
        <v>250</v>
      </c>
      <c r="H118" s="4" t="s">
        <v>251</v>
      </c>
      <c r="I118" s="4" t="s">
        <v>51</v>
      </c>
      <c r="J118" s="4" t="str">
        <f>"6030SB0017538"</f>
        <v>6030SB0017538</v>
      </c>
      <c r="K118" s="4" t="s">
        <v>293</v>
      </c>
      <c r="L118" s="4" t="str">
        <f>""</f>
        <v/>
      </c>
      <c r="M118" s="4" t="str">
        <f>""</f>
        <v/>
      </c>
      <c r="N118" s="4" t="s">
        <v>34</v>
      </c>
      <c r="O118" s="3"/>
      <c r="P118" s="3"/>
      <c r="Q118" s="3"/>
      <c r="R118" s="4" t="s">
        <v>35</v>
      </c>
      <c r="S118" s="3"/>
      <c r="T118" s="4" t="str">
        <f>"30-1299-01"</f>
        <v>30-1299-01</v>
      </c>
      <c r="U118" s="4" t="str">
        <f>"01-114011"</f>
        <v>01-114011</v>
      </c>
      <c r="V118" s="4" t="str">
        <f>"FNS14440BEB"</f>
        <v>FNS14440BEB</v>
      </c>
      <c r="W118" s="4" t="s">
        <v>36</v>
      </c>
      <c r="X118" s="4" t="str">
        <f>"0GX96"</f>
        <v>0GX96</v>
      </c>
      <c r="Y118" s="4" t="str">
        <f>"30-1299-01"</f>
        <v>30-1299-01</v>
      </c>
      <c r="Z118" s="4" t="str">
        <f>""</f>
        <v/>
      </c>
      <c r="AA118" s="4" t="str">
        <f>""</f>
        <v/>
      </c>
      <c r="AB118" s="5">
        <v>43465</v>
      </c>
      <c r="AC118" s="6">
        <v>6567651407</v>
      </c>
    </row>
    <row r="119" spans="1:29" ht="14.45" customHeight="1" x14ac:dyDescent="0.25">
      <c r="A119" s="4" t="s">
        <v>25</v>
      </c>
      <c r="B119" s="4" t="s">
        <v>139</v>
      </c>
      <c r="C119" s="4" t="s">
        <v>140</v>
      </c>
      <c r="D119" s="4" t="s">
        <v>28</v>
      </c>
      <c r="E119" s="4" t="s">
        <v>249</v>
      </c>
      <c r="F119" s="4" t="s">
        <v>250</v>
      </c>
      <c r="G119" s="4" t="s">
        <v>250</v>
      </c>
      <c r="H119" s="4" t="s">
        <v>251</v>
      </c>
      <c r="I119" s="4" t="s">
        <v>294</v>
      </c>
      <c r="J119" s="4" t="str">
        <f>"6030SB0021576"</f>
        <v>6030SB0021576</v>
      </c>
      <c r="K119" s="4" t="s">
        <v>295</v>
      </c>
      <c r="L119" s="4" t="str">
        <f>""</f>
        <v/>
      </c>
      <c r="M119" s="4" t="str">
        <f>""</f>
        <v/>
      </c>
      <c r="N119" s="4" t="s">
        <v>34</v>
      </c>
      <c r="O119" s="3"/>
      <c r="P119" s="3"/>
      <c r="Q119" s="3"/>
      <c r="R119" s="4" t="s">
        <v>35</v>
      </c>
      <c r="S119" s="3"/>
      <c r="T119" s="4" t="str">
        <f>"731-00405-01"</f>
        <v>731-00405-01</v>
      </c>
      <c r="U119" s="4" t="str">
        <f>"NCIA10245538"</f>
        <v>NCIA10245538</v>
      </c>
      <c r="V119" s="4" t="str">
        <f>"12122-W002"</f>
        <v>12122-W002</v>
      </c>
      <c r="W119" s="4" t="s">
        <v>36</v>
      </c>
      <c r="X119" s="4" t="str">
        <f t="shared" ref="X119:X126" si="8">"02MQ7"</f>
        <v>02MQ7</v>
      </c>
      <c r="Y119" s="4" t="str">
        <f>"731-00405-01"</f>
        <v>731-00405-01</v>
      </c>
      <c r="Z119" s="4" t="str">
        <f>""</f>
        <v/>
      </c>
      <c r="AA119" s="4" t="str">
        <f>""</f>
        <v/>
      </c>
      <c r="AB119" s="5">
        <v>43465</v>
      </c>
      <c r="AC119" s="6">
        <v>54829275</v>
      </c>
    </row>
    <row r="120" spans="1:29" ht="14.45" customHeight="1" x14ac:dyDescent="0.25">
      <c r="A120" s="4" t="s">
        <v>25</v>
      </c>
      <c r="B120" s="4" t="s">
        <v>139</v>
      </c>
      <c r="C120" s="4" t="s">
        <v>140</v>
      </c>
      <c r="D120" s="4" t="s">
        <v>28</v>
      </c>
      <c r="E120" s="4" t="s">
        <v>249</v>
      </c>
      <c r="F120" s="4" t="s">
        <v>250</v>
      </c>
      <c r="G120" s="4" t="s">
        <v>250</v>
      </c>
      <c r="H120" s="4" t="s">
        <v>251</v>
      </c>
      <c r="I120" s="4" t="s">
        <v>294</v>
      </c>
      <c r="J120" s="4" t="str">
        <f>"6030SB0021576"</f>
        <v>6030SB0021576</v>
      </c>
      <c r="K120" s="4" t="s">
        <v>295</v>
      </c>
      <c r="L120" s="4" t="str">
        <f>""</f>
        <v/>
      </c>
      <c r="M120" s="4" t="str">
        <f>""</f>
        <v/>
      </c>
      <c r="N120" s="4" t="s">
        <v>34</v>
      </c>
      <c r="O120" s="3"/>
      <c r="P120" s="3"/>
      <c r="Q120" s="3"/>
      <c r="R120" s="4" t="s">
        <v>35</v>
      </c>
      <c r="S120" s="3"/>
      <c r="T120" s="4" t="str">
        <f>"731-00405-01"</f>
        <v>731-00405-01</v>
      </c>
      <c r="U120" s="4" t="str">
        <f>"NCIA10301754"</f>
        <v>NCIA10301754</v>
      </c>
      <c r="V120" s="4" t="str">
        <f>"9319-W037"</f>
        <v>9319-W037</v>
      </c>
      <c r="W120" s="4" t="s">
        <v>36</v>
      </c>
      <c r="X120" s="4" t="str">
        <f t="shared" si="8"/>
        <v>02MQ7</v>
      </c>
      <c r="Y120" s="4" t="str">
        <f>"731-00405-01"</f>
        <v>731-00405-01</v>
      </c>
      <c r="Z120" s="4" t="str">
        <f>""</f>
        <v/>
      </c>
      <c r="AA120" s="4" t="str">
        <f>""</f>
        <v/>
      </c>
      <c r="AB120" s="5">
        <v>43465</v>
      </c>
      <c r="AC120" s="6">
        <v>54829275</v>
      </c>
    </row>
    <row r="121" spans="1:29" ht="14.45" customHeight="1" x14ac:dyDescent="0.25">
      <c r="A121" s="4" t="s">
        <v>25</v>
      </c>
      <c r="B121" s="4" t="s">
        <v>139</v>
      </c>
      <c r="C121" s="4" t="s">
        <v>140</v>
      </c>
      <c r="D121" s="4" t="s">
        <v>28</v>
      </c>
      <c r="E121" s="4" t="s">
        <v>249</v>
      </c>
      <c r="F121" s="4" t="s">
        <v>250</v>
      </c>
      <c r="G121" s="4" t="s">
        <v>250</v>
      </c>
      <c r="H121" s="4" t="s">
        <v>251</v>
      </c>
      <c r="I121" s="4" t="s">
        <v>294</v>
      </c>
      <c r="J121" s="4" t="str">
        <f>"6030SB0021576"</f>
        <v>6030SB0021576</v>
      </c>
      <c r="K121" s="4" t="s">
        <v>295</v>
      </c>
      <c r="L121" s="4" t="str">
        <f>""</f>
        <v/>
      </c>
      <c r="M121" s="4" t="str">
        <f>""</f>
        <v/>
      </c>
      <c r="N121" s="4" t="s">
        <v>34</v>
      </c>
      <c r="O121" s="3"/>
      <c r="P121" s="3"/>
      <c r="Q121" s="3"/>
      <c r="R121" s="4" t="s">
        <v>35</v>
      </c>
      <c r="S121" s="3"/>
      <c r="T121" s="4" t="str">
        <f>"731-00405-01"</f>
        <v>731-00405-01</v>
      </c>
      <c r="U121" s="4" t="str">
        <f>"NCIA10311470"</f>
        <v>NCIA10311470</v>
      </c>
      <c r="V121" s="4" t="str">
        <f>"1003971"</f>
        <v>1003971</v>
      </c>
      <c r="W121" s="4" t="s">
        <v>36</v>
      </c>
      <c r="X121" s="4" t="str">
        <f t="shared" si="8"/>
        <v>02MQ7</v>
      </c>
      <c r="Y121" s="4" t="str">
        <f>"731-00405-01"</f>
        <v>731-00405-01</v>
      </c>
      <c r="Z121" s="4" t="str">
        <f>""</f>
        <v/>
      </c>
      <c r="AA121" s="4" t="str">
        <f>""</f>
        <v/>
      </c>
      <c r="AB121" s="5">
        <v>43465</v>
      </c>
      <c r="AC121" s="6">
        <v>54829275</v>
      </c>
    </row>
    <row r="122" spans="1:29" ht="14.45" customHeight="1" x14ac:dyDescent="0.25">
      <c r="A122" s="4" t="s">
        <v>25</v>
      </c>
      <c r="B122" s="4" t="s">
        <v>139</v>
      </c>
      <c r="C122" s="4" t="s">
        <v>140</v>
      </c>
      <c r="D122" s="4" t="s">
        <v>28</v>
      </c>
      <c r="E122" s="4" t="s">
        <v>249</v>
      </c>
      <c r="F122" s="4" t="s">
        <v>250</v>
      </c>
      <c r="G122" s="4" t="s">
        <v>250</v>
      </c>
      <c r="H122" s="4" t="s">
        <v>251</v>
      </c>
      <c r="I122" s="4" t="s">
        <v>98</v>
      </c>
      <c r="J122" s="4" t="str">
        <f>"6060SB0005506"</f>
        <v>6060SB0005506</v>
      </c>
      <c r="K122" s="4" t="s">
        <v>99</v>
      </c>
      <c r="L122" s="4" t="str">
        <f>""</f>
        <v/>
      </c>
      <c r="M122" s="4" t="str">
        <f>""</f>
        <v/>
      </c>
      <c r="N122" s="4" t="s">
        <v>34</v>
      </c>
      <c r="O122" s="3"/>
      <c r="P122" s="3"/>
      <c r="Q122" s="3"/>
      <c r="R122" s="4" t="s">
        <v>35</v>
      </c>
      <c r="S122" s="3"/>
      <c r="T122" s="4" t="str">
        <f>"732-00357-00"</f>
        <v>732-00357-00</v>
      </c>
      <c r="U122" s="4" t="str">
        <f>"03-131155"</f>
        <v>03-131155</v>
      </c>
      <c r="V122" s="4" t="str">
        <f>"9321-W066"</f>
        <v>9321-W066</v>
      </c>
      <c r="W122" s="4" t="s">
        <v>36</v>
      </c>
      <c r="X122" s="4" t="str">
        <f t="shared" si="8"/>
        <v>02MQ7</v>
      </c>
      <c r="Y122" s="4" t="str">
        <f>"732-00357-00"</f>
        <v>732-00357-00</v>
      </c>
      <c r="Z122" s="4" t="str">
        <f>""</f>
        <v/>
      </c>
      <c r="AA122" s="4" t="str">
        <f>""</f>
        <v/>
      </c>
      <c r="AB122" s="5">
        <v>43465</v>
      </c>
      <c r="AC122" s="6">
        <v>7692696255333330</v>
      </c>
    </row>
    <row r="123" spans="1:29" ht="14.45" customHeight="1" x14ac:dyDescent="0.25">
      <c r="A123" s="4" t="s">
        <v>25</v>
      </c>
      <c r="B123" s="4" t="s">
        <v>139</v>
      </c>
      <c r="C123" s="4" t="s">
        <v>140</v>
      </c>
      <c r="D123" s="4" t="s">
        <v>28</v>
      </c>
      <c r="E123" s="4" t="s">
        <v>249</v>
      </c>
      <c r="F123" s="4" t="s">
        <v>250</v>
      </c>
      <c r="G123" s="4" t="s">
        <v>250</v>
      </c>
      <c r="H123" s="4" t="s">
        <v>251</v>
      </c>
      <c r="I123" s="4" t="s">
        <v>98</v>
      </c>
      <c r="J123" s="4" t="str">
        <f>"6060SB0005506"</f>
        <v>6060SB0005506</v>
      </c>
      <c r="K123" s="4" t="s">
        <v>99</v>
      </c>
      <c r="L123" s="4" t="str">
        <f>""</f>
        <v/>
      </c>
      <c r="M123" s="4" t="str">
        <f>""</f>
        <v/>
      </c>
      <c r="N123" s="4" t="s">
        <v>34</v>
      </c>
      <c r="O123" s="3"/>
      <c r="P123" s="3"/>
      <c r="Q123" s="3"/>
      <c r="R123" s="4" t="s">
        <v>35</v>
      </c>
      <c r="S123" s="3"/>
      <c r="T123" s="4" t="str">
        <f>"732-00357-00"</f>
        <v>732-00357-00</v>
      </c>
      <c r="U123" s="4" t="str">
        <f>"03-131156"</f>
        <v>03-131156</v>
      </c>
      <c r="V123" s="4" t="str">
        <f>"9321-W063"</f>
        <v>9321-W063</v>
      </c>
      <c r="W123" s="4" t="s">
        <v>36</v>
      </c>
      <c r="X123" s="4" t="str">
        <f t="shared" si="8"/>
        <v>02MQ7</v>
      </c>
      <c r="Y123" s="4" t="str">
        <f>"732-00357-00"</f>
        <v>732-00357-00</v>
      </c>
      <c r="Z123" s="4" t="str">
        <f>""</f>
        <v/>
      </c>
      <c r="AA123" s="4" t="str">
        <f>""</f>
        <v/>
      </c>
      <c r="AB123" s="5">
        <v>43465</v>
      </c>
      <c r="AC123" s="6">
        <v>7692696255333330</v>
      </c>
    </row>
    <row r="124" spans="1:29" ht="14.45" customHeight="1" x14ac:dyDescent="0.25">
      <c r="A124" s="4" t="s">
        <v>25</v>
      </c>
      <c r="B124" s="4" t="s">
        <v>139</v>
      </c>
      <c r="C124" s="4" t="s">
        <v>140</v>
      </c>
      <c r="D124" s="4" t="s">
        <v>28</v>
      </c>
      <c r="E124" s="4" t="s">
        <v>249</v>
      </c>
      <c r="F124" s="4" t="s">
        <v>250</v>
      </c>
      <c r="G124" s="4" t="s">
        <v>250</v>
      </c>
      <c r="H124" s="4" t="s">
        <v>251</v>
      </c>
      <c r="I124" s="4" t="s">
        <v>98</v>
      </c>
      <c r="J124" s="4" t="str">
        <f>"6060SB0005506"</f>
        <v>6060SB0005506</v>
      </c>
      <c r="K124" s="4" t="s">
        <v>99</v>
      </c>
      <c r="L124" s="4" t="str">
        <f>""</f>
        <v/>
      </c>
      <c r="M124" s="4" t="str">
        <f>""</f>
        <v/>
      </c>
      <c r="N124" s="4" t="s">
        <v>34</v>
      </c>
      <c r="O124" s="3"/>
      <c r="P124" s="3"/>
      <c r="Q124" s="3"/>
      <c r="R124" s="4" t="s">
        <v>35</v>
      </c>
      <c r="S124" s="3"/>
      <c r="T124" s="4" t="str">
        <f>"732-00357-00"</f>
        <v>732-00357-00</v>
      </c>
      <c r="U124" s="4" t="str">
        <f>"03-131157"</f>
        <v>03-131157</v>
      </c>
      <c r="V124" s="4" t="str">
        <f>"9321-W026"</f>
        <v>9321-W026</v>
      </c>
      <c r="W124" s="4" t="s">
        <v>36</v>
      </c>
      <c r="X124" s="4" t="str">
        <f t="shared" si="8"/>
        <v>02MQ7</v>
      </c>
      <c r="Y124" s="4" t="str">
        <f>"732-00357-00"</f>
        <v>732-00357-00</v>
      </c>
      <c r="Z124" s="4" t="str">
        <f>""</f>
        <v/>
      </c>
      <c r="AA124" s="4" t="str">
        <f>""</f>
        <v/>
      </c>
      <c r="AB124" s="5">
        <v>43465</v>
      </c>
      <c r="AC124" s="6">
        <v>7692696255333330</v>
      </c>
    </row>
    <row r="125" spans="1:29" ht="14.45" customHeight="1" x14ac:dyDescent="0.25">
      <c r="A125" s="4" t="s">
        <v>25</v>
      </c>
      <c r="B125" s="4" t="s">
        <v>139</v>
      </c>
      <c r="C125" s="4" t="s">
        <v>140</v>
      </c>
      <c r="D125" s="4" t="s">
        <v>28</v>
      </c>
      <c r="E125" s="4" t="s">
        <v>249</v>
      </c>
      <c r="F125" s="4" t="s">
        <v>250</v>
      </c>
      <c r="G125" s="4" t="s">
        <v>250</v>
      </c>
      <c r="H125" s="4" t="s">
        <v>251</v>
      </c>
      <c r="I125" s="4" t="s">
        <v>68</v>
      </c>
      <c r="J125" s="4" t="str">
        <f>"6130SB0039088"</f>
        <v>6130SB0039088</v>
      </c>
      <c r="K125" s="4" t="s">
        <v>100</v>
      </c>
      <c r="L125" s="4" t="str">
        <f>""</f>
        <v/>
      </c>
      <c r="M125" s="4" t="str">
        <f>""</f>
        <v/>
      </c>
      <c r="N125" s="4" t="s">
        <v>34</v>
      </c>
      <c r="O125" s="3"/>
      <c r="P125" s="3"/>
      <c r="Q125" s="3"/>
      <c r="R125" s="4" t="s">
        <v>35</v>
      </c>
      <c r="S125" s="3"/>
      <c r="T125" s="4" t="str">
        <f>""</f>
        <v/>
      </c>
      <c r="U125" s="4" t="str">
        <f>"NCIA10371859"</f>
        <v>NCIA10371859</v>
      </c>
      <c r="V125" s="4" t="str">
        <f>"5735659"</f>
        <v>5735659</v>
      </c>
      <c r="W125" s="4" t="s">
        <v>36</v>
      </c>
      <c r="X125" s="4" t="str">
        <f t="shared" si="8"/>
        <v>02MQ7</v>
      </c>
      <c r="Y125" s="4" t="str">
        <f>"11008-08006-001"</f>
        <v>11008-08006-001</v>
      </c>
      <c r="Z125" s="4" t="str">
        <f>""</f>
        <v/>
      </c>
      <c r="AA125" s="4" t="str">
        <f>""</f>
        <v/>
      </c>
      <c r="AB125" s="5">
        <v>43465</v>
      </c>
      <c r="AC125" s="4">
        <v>0</v>
      </c>
    </row>
    <row r="126" spans="1:29" ht="14.45" customHeight="1" x14ac:dyDescent="0.25">
      <c r="A126" s="4" t="s">
        <v>25</v>
      </c>
      <c r="B126" s="4" t="s">
        <v>139</v>
      </c>
      <c r="C126" s="4" t="s">
        <v>140</v>
      </c>
      <c r="D126" s="4" t="s">
        <v>28</v>
      </c>
      <c r="E126" s="4" t="s">
        <v>249</v>
      </c>
      <c r="F126" s="4" t="s">
        <v>250</v>
      </c>
      <c r="G126" s="4" t="s">
        <v>250</v>
      </c>
      <c r="H126" s="4" t="s">
        <v>251</v>
      </c>
      <c r="I126" s="4" t="s">
        <v>68</v>
      </c>
      <c r="J126" s="4" t="str">
        <f>"6130SB0039088"</f>
        <v>6130SB0039088</v>
      </c>
      <c r="K126" s="4" t="s">
        <v>100</v>
      </c>
      <c r="L126" s="4" t="str">
        <f>""</f>
        <v/>
      </c>
      <c r="M126" s="4" t="str">
        <f>""</f>
        <v/>
      </c>
      <c r="N126" s="4" t="s">
        <v>34</v>
      </c>
      <c r="O126" s="3"/>
      <c r="P126" s="3"/>
      <c r="Q126" s="3"/>
      <c r="R126" s="4" t="s">
        <v>35</v>
      </c>
      <c r="S126" s="3"/>
      <c r="T126" s="4" t="str">
        <f>""</f>
        <v/>
      </c>
      <c r="U126" s="4" t="str">
        <f>"NCIA10371860"</f>
        <v>NCIA10371860</v>
      </c>
      <c r="V126" s="4" t="str">
        <f>"5735642"</f>
        <v>5735642</v>
      </c>
      <c r="W126" s="4" t="s">
        <v>36</v>
      </c>
      <c r="X126" s="4" t="str">
        <f t="shared" si="8"/>
        <v>02MQ7</v>
      </c>
      <c r="Y126" s="4" t="str">
        <f>"11008-08006-002"</f>
        <v>11008-08006-002</v>
      </c>
      <c r="Z126" s="4" t="str">
        <f>""</f>
        <v/>
      </c>
      <c r="AA126" s="4" t="str">
        <f>""</f>
        <v/>
      </c>
      <c r="AB126" s="5">
        <v>43465</v>
      </c>
      <c r="AC126" s="4">
        <v>0</v>
      </c>
    </row>
    <row r="127" spans="1:29" ht="14.45" customHeight="1" x14ac:dyDescent="0.25">
      <c r="A127" s="4" t="s">
        <v>25</v>
      </c>
      <c r="B127" s="4" t="s">
        <v>139</v>
      </c>
      <c r="C127" s="4" t="s">
        <v>140</v>
      </c>
      <c r="D127" s="4" t="s">
        <v>28</v>
      </c>
      <c r="E127" s="4" t="s">
        <v>249</v>
      </c>
      <c r="F127" s="4" t="s">
        <v>250</v>
      </c>
      <c r="G127" s="4" t="s">
        <v>250</v>
      </c>
      <c r="H127" s="4" t="s">
        <v>251</v>
      </c>
      <c r="I127" s="4" t="s">
        <v>68</v>
      </c>
      <c r="J127" s="4" t="str">
        <f>"6130SB0039089"</f>
        <v>6130SB0039089</v>
      </c>
      <c r="K127" s="4" t="s">
        <v>101</v>
      </c>
      <c r="L127" s="4" t="str">
        <f>""</f>
        <v/>
      </c>
      <c r="M127" s="4" t="str">
        <f>""</f>
        <v/>
      </c>
      <c r="N127" s="4" t="s">
        <v>34</v>
      </c>
      <c r="O127" s="3"/>
      <c r="P127" s="3"/>
      <c r="Q127" s="3"/>
      <c r="R127" s="4" t="s">
        <v>35</v>
      </c>
      <c r="S127" s="3"/>
      <c r="T127" s="4" t="str">
        <f>""</f>
        <v/>
      </c>
      <c r="U127" s="4" t="str">
        <f>"NCIA10371861"</f>
        <v>NCIA10371861</v>
      </c>
      <c r="V127" s="4" t="str">
        <f>"000801"</f>
        <v>000801</v>
      </c>
      <c r="W127" s="4" t="s">
        <v>36</v>
      </c>
      <c r="X127" s="4" t="str">
        <f>"0VMZ0"</f>
        <v>0VMZ0</v>
      </c>
      <c r="Y127" s="4" t="str">
        <f>"3F51991F100G"</f>
        <v>3F51991F100G</v>
      </c>
      <c r="Z127" s="4" t="str">
        <f>""</f>
        <v/>
      </c>
      <c r="AA127" s="4" t="str">
        <f>""</f>
        <v/>
      </c>
      <c r="AB127" s="5">
        <v>43465</v>
      </c>
      <c r="AC127" s="4">
        <v>0</v>
      </c>
    </row>
    <row r="128" spans="1:29" ht="14.45" customHeight="1" x14ac:dyDescent="0.25">
      <c r="A128" s="4" t="s">
        <v>25</v>
      </c>
      <c r="B128" s="4" t="s">
        <v>139</v>
      </c>
      <c r="C128" s="4" t="s">
        <v>140</v>
      </c>
      <c r="D128" s="4" t="s">
        <v>28</v>
      </c>
      <c r="E128" s="4" t="s">
        <v>249</v>
      </c>
      <c r="F128" s="4" t="s">
        <v>250</v>
      </c>
      <c r="G128" s="4" t="s">
        <v>250</v>
      </c>
      <c r="H128" s="4" t="s">
        <v>251</v>
      </c>
      <c r="I128" s="4" t="s">
        <v>68</v>
      </c>
      <c r="J128" s="4" t="str">
        <f>"6130SB0039089"</f>
        <v>6130SB0039089</v>
      </c>
      <c r="K128" s="4" t="s">
        <v>101</v>
      </c>
      <c r="L128" s="4" t="str">
        <f>""</f>
        <v/>
      </c>
      <c r="M128" s="4" t="str">
        <f>""</f>
        <v/>
      </c>
      <c r="N128" s="4" t="s">
        <v>34</v>
      </c>
      <c r="O128" s="3"/>
      <c r="P128" s="3"/>
      <c r="Q128" s="3"/>
      <c r="R128" s="4" t="s">
        <v>35</v>
      </c>
      <c r="S128" s="3"/>
      <c r="T128" s="4" t="str">
        <f>""</f>
        <v/>
      </c>
      <c r="U128" s="4" t="str">
        <f>"NCIA10371862"</f>
        <v>NCIA10371862</v>
      </c>
      <c r="V128" s="4" t="str">
        <f>"000799"</f>
        <v>000799</v>
      </c>
      <c r="W128" s="4" t="s">
        <v>36</v>
      </c>
      <c r="X128" s="4" t="str">
        <f>"0VMZ0"</f>
        <v>0VMZ0</v>
      </c>
      <c r="Y128" s="4" t="str">
        <f>"3F51991F100G"</f>
        <v>3F51991F100G</v>
      </c>
      <c r="Z128" s="4" t="str">
        <f>""</f>
        <v/>
      </c>
      <c r="AA128" s="4" t="str">
        <f>""</f>
        <v/>
      </c>
      <c r="AB128" s="5">
        <v>43465</v>
      </c>
      <c r="AC128" s="4">
        <v>0</v>
      </c>
    </row>
    <row r="129" spans="1:29" ht="14.45" customHeight="1" x14ac:dyDescent="0.25">
      <c r="A129" s="4" t="s">
        <v>25</v>
      </c>
      <c r="B129" s="4" t="s">
        <v>139</v>
      </c>
      <c r="C129" s="4" t="s">
        <v>140</v>
      </c>
      <c r="D129" s="4" t="s">
        <v>28</v>
      </c>
      <c r="E129" s="4" t="s">
        <v>249</v>
      </c>
      <c r="F129" s="4" t="s">
        <v>250</v>
      </c>
      <c r="G129" s="4" t="s">
        <v>250</v>
      </c>
      <c r="H129" s="4" t="s">
        <v>251</v>
      </c>
      <c r="I129" s="4" t="s">
        <v>68</v>
      </c>
      <c r="J129" s="4" t="str">
        <f>"6130SB0039089"</f>
        <v>6130SB0039089</v>
      </c>
      <c r="K129" s="4" t="s">
        <v>101</v>
      </c>
      <c r="L129" s="4" t="str">
        <f>""</f>
        <v/>
      </c>
      <c r="M129" s="4" t="str">
        <f>""</f>
        <v/>
      </c>
      <c r="N129" s="4" t="s">
        <v>34</v>
      </c>
      <c r="O129" s="3"/>
      <c r="P129" s="3"/>
      <c r="Q129" s="3"/>
      <c r="R129" s="4" t="s">
        <v>35</v>
      </c>
      <c r="S129" s="3"/>
      <c r="T129" s="4" t="str">
        <f>""</f>
        <v/>
      </c>
      <c r="U129" s="4" t="str">
        <f>"NCIA10371863"</f>
        <v>NCIA10371863</v>
      </c>
      <c r="V129" s="4" t="str">
        <f>"000800"</f>
        <v>000800</v>
      </c>
      <c r="W129" s="4" t="s">
        <v>36</v>
      </c>
      <c r="X129" s="4" t="str">
        <f>"0VMZ0"</f>
        <v>0VMZ0</v>
      </c>
      <c r="Y129" s="4" t="str">
        <f>"3F51991F100G"</f>
        <v>3F51991F100G</v>
      </c>
      <c r="Z129" s="4" t="str">
        <f>""</f>
        <v/>
      </c>
      <c r="AA129" s="4" t="str">
        <f>""</f>
        <v/>
      </c>
      <c r="AB129" s="5">
        <v>43465</v>
      </c>
      <c r="AC129" s="4">
        <v>0</v>
      </c>
    </row>
    <row r="130" spans="1:29" ht="14.45" customHeight="1" x14ac:dyDescent="0.25">
      <c r="A130" s="4" t="s">
        <v>25</v>
      </c>
      <c r="B130" s="4" t="s">
        <v>139</v>
      </c>
      <c r="C130" s="4" t="s">
        <v>140</v>
      </c>
      <c r="D130" s="4" t="s">
        <v>28</v>
      </c>
      <c r="E130" s="4" t="s">
        <v>249</v>
      </c>
      <c r="F130" s="4" t="s">
        <v>250</v>
      </c>
      <c r="G130" s="4" t="s">
        <v>250</v>
      </c>
      <c r="H130" s="4" t="s">
        <v>251</v>
      </c>
      <c r="I130" s="4" t="s">
        <v>68</v>
      </c>
      <c r="J130" s="4" t="str">
        <f>"6130SB0039090"</f>
        <v>6130SB0039090</v>
      </c>
      <c r="K130" s="4" t="s">
        <v>102</v>
      </c>
      <c r="L130" s="4" t="str">
        <f>""</f>
        <v/>
      </c>
      <c r="M130" s="4" t="str">
        <f>""</f>
        <v/>
      </c>
      <c r="N130" s="4" t="s">
        <v>34</v>
      </c>
      <c r="O130" s="3"/>
      <c r="P130" s="3"/>
      <c r="Q130" s="3"/>
      <c r="R130" s="4" t="s">
        <v>35</v>
      </c>
      <c r="S130" s="3"/>
      <c r="T130" s="4" t="str">
        <f>""</f>
        <v/>
      </c>
      <c r="U130" s="4" t="str">
        <f>"NCIA10371864"</f>
        <v>NCIA10371864</v>
      </c>
      <c r="V130" s="4" t="str">
        <f>"000690"</f>
        <v>000690</v>
      </c>
      <c r="W130" s="4" t="s">
        <v>36</v>
      </c>
      <c r="X130" s="4" t="str">
        <f>"0VMZ0"</f>
        <v>0VMZ0</v>
      </c>
      <c r="Y130" s="4" t="str">
        <f>"3F51991F200G"</f>
        <v>3F51991F200G</v>
      </c>
      <c r="Z130" s="4" t="str">
        <f>""</f>
        <v/>
      </c>
      <c r="AA130" s="4" t="str">
        <f>""</f>
        <v/>
      </c>
      <c r="AB130" s="5">
        <v>43465</v>
      </c>
      <c r="AC130" s="4">
        <v>0</v>
      </c>
    </row>
    <row r="131" spans="1:29" ht="14.45" customHeight="1" x14ac:dyDescent="0.25">
      <c r="A131" s="4" t="s">
        <v>25</v>
      </c>
      <c r="B131" s="4" t="s">
        <v>139</v>
      </c>
      <c r="C131" s="4" t="s">
        <v>140</v>
      </c>
      <c r="D131" s="4" t="s">
        <v>28</v>
      </c>
      <c r="E131" s="4" t="s">
        <v>249</v>
      </c>
      <c r="F131" s="4" t="s">
        <v>250</v>
      </c>
      <c r="G131" s="4" t="s">
        <v>250</v>
      </c>
      <c r="H131" s="4" t="s">
        <v>251</v>
      </c>
      <c r="I131" s="4" t="s">
        <v>68</v>
      </c>
      <c r="J131" s="4" t="str">
        <f>"6130SB0039091"</f>
        <v>6130SB0039091</v>
      </c>
      <c r="K131" s="4" t="s">
        <v>103</v>
      </c>
      <c r="L131" s="4" t="str">
        <f>""</f>
        <v/>
      </c>
      <c r="M131" s="4" t="str">
        <f>""</f>
        <v/>
      </c>
      <c r="N131" s="4" t="s">
        <v>34</v>
      </c>
      <c r="O131" s="3"/>
      <c r="P131" s="3"/>
      <c r="Q131" s="3"/>
      <c r="R131" s="4" t="s">
        <v>35</v>
      </c>
      <c r="S131" s="3"/>
      <c r="T131" s="4" t="str">
        <f>""</f>
        <v/>
      </c>
      <c r="U131" s="4" t="str">
        <f>"NCIA10371857"</f>
        <v>NCIA10371857</v>
      </c>
      <c r="V131" s="4" t="str">
        <f>""</f>
        <v/>
      </c>
      <c r="W131" s="4" t="s">
        <v>36</v>
      </c>
      <c r="X131" s="4" t="str">
        <f>"02MQ7"</f>
        <v>02MQ7</v>
      </c>
      <c r="Y131" s="4" t="str">
        <f>"11099-05028"</f>
        <v>11099-05028</v>
      </c>
      <c r="Z131" s="4" t="str">
        <f>""</f>
        <v/>
      </c>
      <c r="AA131" s="4" t="str">
        <f>""</f>
        <v/>
      </c>
      <c r="AB131" s="5">
        <v>43465</v>
      </c>
      <c r="AC131" s="4">
        <v>0</v>
      </c>
    </row>
    <row r="132" spans="1:29" ht="14.45" customHeight="1" x14ac:dyDescent="0.25">
      <c r="A132" s="4" t="s">
        <v>25</v>
      </c>
      <c r="B132" s="4" t="s">
        <v>139</v>
      </c>
      <c r="C132" s="4" t="s">
        <v>140</v>
      </c>
      <c r="D132" s="4" t="s">
        <v>28</v>
      </c>
      <c r="E132" s="4" t="s">
        <v>249</v>
      </c>
      <c r="F132" s="4" t="s">
        <v>250</v>
      </c>
      <c r="G132" s="4" t="s">
        <v>250</v>
      </c>
      <c r="H132" s="4" t="s">
        <v>251</v>
      </c>
      <c r="I132" s="4" t="s">
        <v>68</v>
      </c>
      <c r="J132" s="4" t="str">
        <f>"6130SB0039092"</f>
        <v>6130SB0039092</v>
      </c>
      <c r="K132" s="4" t="s">
        <v>104</v>
      </c>
      <c r="L132" s="4" t="str">
        <f>""</f>
        <v/>
      </c>
      <c r="M132" s="4" t="str">
        <f>""</f>
        <v/>
      </c>
      <c r="N132" s="4" t="s">
        <v>34</v>
      </c>
      <c r="O132" s="3"/>
      <c r="P132" s="3"/>
      <c r="Q132" s="3"/>
      <c r="R132" s="4" t="s">
        <v>35</v>
      </c>
      <c r="S132" s="3"/>
      <c r="T132" s="4" t="str">
        <f>""</f>
        <v/>
      </c>
      <c r="U132" s="4" t="str">
        <f>"NCIA10371856"</f>
        <v>NCIA10371856</v>
      </c>
      <c r="V132" s="4" t="str">
        <f>""</f>
        <v/>
      </c>
      <c r="W132" s="4" t="s">
        <v>36</v>
      </c>
      <c r="X132" s="4" t="str">
        <f>"02MQ7"</f>
        <v>02MQ7</v>
      </c>
      <c r="Y132" s="4" t="str">
        <f>"11099-05008"</f>
        <v>11099-05008</v>
      </c>
      <c r="Z132" s="4" t="str">
        <f>""</f>
        <v/>
      </c>
      <c r="AA132" s="4" t="str">
        <f>""</f>
        <v/>
      </c>
      <c r="AB132" s="5">
        <v>43465</v>
      </c>
      <c r="AC132" s="4">
        <v>0</v>
      </c>
    </row>
    <row r="133" spans="1:29" ht="14.45" customHeight="1" x14ac:dyDescent="0.25">
      <c r="A133" s="4" t="s">
        <v>25</v>
      </c>
      <c r="B133" s="4" t="s">
        <v>139</v>
      </c>
      <c r="C133" s="4" t="s">
        <v>140</v>
      </c>
      <c r="D133" s="4" t="s">
        <v>28</v>
      </c>
      <c r="E133" s="4" t="s">
        <v>249</v>
      </c>
      <c r="F133" s="4" t="s">
        <v>250</v>
      </c>
      <c r="G133" s="4" t="s">
        <v>250</v>
      </c>
      <c r="H133" s="4" t="s">
        <v>251</v>
      </c>
      <c r="I133" s="4" t="s">
        <v>296</v>
      </c>
      <c r="J133" s="4" t="str">
        <f>"6605SB0058686"</f>
        <v>6605SB0058686</v>
      </c>
      <c r="K133" s="4" t="s">
        <v>297</v>
      </c>
      <c r="L133" s="4" t="str">
        <f>""</f>
        <v/>
      </c>
      <c r="M133" s="4" t="str">
        <f>""</f>
        <v/>
      </c>
      <c r="N133" s="4" t="s">
        <v>34</v>
      </c>
      <c r="O133" s="3"/>
      <c r="P133" s="3"/>
      <c r="Q133" s="3"/>
      <c r="R133" s="4" t="s">
        <v>35</v>
      </c>
      <c r="S133" s="3"/>
      <c r="T133" s="4" t="str">
        <f>""</f>
        <v/>
      </c>
      <c r="U133" s="4" t="str">
        <f>"NCIA12008858"</f>
        <v>NCIA12008858</v>
      </c>
      <c r="V133" s="4" t="str">
        <f>"21423"</f>
        <v>21423</v>
      </c>
      <c r="W133" s="4" t="s">
        <v>36</v>
      </c>
      <c r="X133" s="4" t="str">
        <f>"02MQ7"</f>
        <v>02MQ7</v>
      </c>
      <c r="Y133" s="4" t="str">
        <f>"1200-053"</f>
        <v>1200-053</v>
      </c>
      <c r="Z133" s="4" t="str">
        <f>""</f>
        <v/>
      </c>
      <c r="AA133" s="4" t="str">
        <f>""</f>
        <v/>
      </c>
      <c r="AB133" s="5">
        <v>43634</v>
      </c>
      <c r="AC133" s="4">
        <v>0</v>
      </c>
    </row>
    <row r="134" spans="1:29" ht="14.45" customHeight="1" x14ac:dyDescent="0.25">
      <c r="A134" s="4" t="s">
        <v>25</v>
      </c>
      <c r="B134" s="4" t="s">
        <v>139</v>
      </c>
      <c r="C134" s="4" t="s">
        <v>140</v>
      </c>
      <c r="D134" s="4" t="s">
        <v>28</v>
      </c>
      <c r="E134" s="4" t="s">
        <v>249</v>
      </c>
      <c r="F134" s="4" t="s">
        <v>250</v>
      </c>
      <c r="G134" s="4" t="s">
        <v>250</v>
      </c>
      <c r="H134" s="4" t="s">
        <v>251</v>
      </c>
      <c r="I134" s="4" t="s">
        <v>296</v>
      </c>
      <c r="J134" s="4" t="str">
        <f>"6605SB0058686"</f>
        <v>6605SB0058686</v>
      </c>
      <c r="K134" s="4" t="s">
        <v>297</v>
      </c>
      <c r="L134" s="4" t="str">
        <f>""</f>
        <v/>
      </c>
      <c r="M134" s="4" t="str">
        <f>""</f>
        <v/>
      </c>
      <c r="N134" s="4" t="s">
        <v>34</v>
      </c>
      <c r="O134" s="3"/>
      <c r="P134" s="3"/>
      <c r="Q134" s="3"/>
      <c r="R134" s="4" t="s">
        <v>35</v>
      </c>
      <c r="S134" s="3"/>
      <c r="T134" s="4" t="str">
        <f>""</f>
        <v/>
      </c>
      <c r="U134" s="4" t="str">
        <f>"NCIA12008864"</f>
        <v>NCIA12008864</v>
      </c>
      <c r="V134" s="4" t="str">
        <f>"21425"</f>
        <v>21425</v>
      </c>
      <c r="W134" s="4" t="s">
        <v>36</v>
      </c>
      <c r="X134" s="4" t="str">
        <f>"02MQ7"</f>
        <v>02MQ7</v>
      </c>
      <c r="Y134" s="4" t="str">
        <f>"1200-053"</f>
        <v>1200-053</v>
      </c>
      <c r="Z134" s="4" t="str">
        <f>""</f>
        <v/>
      </c>
      <c r="AA134" s="4" t="str">
        <f>""</f>
        <v/>
      </c>
      <c r="AB134" s="5">
        <v>43634</v>
      </c>
      <c r="AC134" s="4">
        <v>0</v>
      </c>
    </row>
    <row r="135" spans="1:29" ht="14.45" customHeight="1" x14ac:dyDescent="0.25">
      <c r="A135" s="4" t="s">
        <v>25</v>
      </c>
      <c r="B135" s="4" t="s">
        <v>139</v>
      </c>
      <c r="C135" s="4" t="s">
        <v>140</v>
      </c>
      <c r="D135" s="4" t="s">
        <v>28</v>
      </c>
      <c r="E135" s="4" t="s">
        <v>249</v>
      </c>
      <c r="F135" s="4" t="s">
        <v>250</v>
      </c>
      <c r="G135" s="4" t="s">
        <v>250</v>
      </c>
      <c r="H135" s="4" t="s">
        <v>251</v>
      </c>
      <c r="I135" s="4" t="s">
        <v>298</v>
      </c>
      <c r="J135" s="4" t="str">
        <f>"6625SB0002357"</f>
        <v>6625SB0002357</v>
      </c>
      <c r="K135" s="4" t="s">
        <v>299</v>
      </c>
      <c r="L135" s="4" t="str">
        <f>""</f>
        <v/>
      </c>
      <c r="M135" s="4" t="str">
        <f>""</f>
        <v/>
      </c>
      <c r="N135" s="4" t="s">
        <v>34</v>
      </c>
      <c r="O135" s="3"/>
      <c r="P135" s="3"/>
      <c r="Q135" s="3"/>
      <c r="R135" s="4" t="s">
        <v>35</v>
      </c>
      <c r="S135" s="3"/>
      <c r="T135" s="4" t="str">
        <f>"2658A"</f>
        <v>2658A</v>
      </c>
      <c r="U135" s="4" t="str">
        <f>"01-114009"</f>
        <v>01-114009</v>
      </c>
      <c r="V135" s="4" t="str">
        <f>"4210131489"</f>
        <v>4210131489</v>
      </c>
      <c r="W135" s="4" t="s">
        <v>36</v>
      </c>
      <c r="X135" s="4" t="str">
        <f>"08098"</f>
        <v>08098</v>
      </c>
      <c r="Y135" s="4" t="str">
        <f>"2658A"</f>
        <v>2658A</v>
      </c>
      <c r="Z135" s="4" t="str">
        <f>""</f>
        <v/>
      </c>
      <c r="AA135" s="4" t="str">
        <f>""</f>
        <v/>
      </c>
      <c r="AB135" s="5">
        <v>43465</v>
      </c>
      <c r="AC135" s="4">
        <v>0</v>
      </c>
    </row>
    <row r="136" spans="1:29" ht="14.45" customHeight="1" x14ac:dyDescent="0.25">
      <c r="A136" s="4" t="s">
        <v>25</v>
      </c>
      <c r="B136" s="4" t="s">
        <v>139</v>
      </c>
      <c r="C136" s="4" t="s">
        <v>140</v>
      </c>
      <c r="D136" s="4" t="s">
        <v>28</v>
      </c>
      <c r="E136" s="4" t="s">
        <v>249</v>
      </c>
      <c r="F136" s="4" t="s">
        <v>250</v>
      </c>
      <c r="G136" s="4" t="s">
        <v>250</v>
      </c>
      <c r="H136" s="4" t="s">
        <v>251</v>
      </c>
      <c r="I136" s="4" t="s">
        <v>74</v>
      </c>
      <c r="J136" s="4" t="str">
        <f>"6625SB0002827"</f>
        <v>6625SB0002827</v>
      </c>
      <c r="K136" s="4" t="s">
        <v>112</v>
      </c>
      <c r="L136" s="4" t="str">
        <f>""</f>
        <v/>
      </c>
      <c r="M136" s="4" t="str">
        <f>""</f>
        <v/>
      </c>
      <c r="N136" s="4" t="s">
        <v>34</v>
      </c>
      <c r="O136" s="3"/>
      <c r="P136" s="3"/>
      <c r="Q136" s="3"/>
      <c r="R136" s="4" t="s">
        <v>35</v>
      </c>
      <c r="S136" s="3"/>
      <c r="T136" s="4" t="str">
        <f>"102813"</f>
        <v>102813</v>
      </c>
      <c r="U136" s="4" t="str">
        <f>"01-113786"</f>
        <v>01-113786</v>
      </c>
      <c r="V136" s="4" t="str">
        <f>"1886"</f>
        <v>1886</v>
      </c>
      <c r="W136" s="4" t="s">
        <v>36</v>
      </c>
      <c r="X136" s="4" t="str">
        <f>"52332"</f>
        <v>52332</v>
      </c>
      <c r="Y136" s="4" t="str">
        <f>"102813"</f>
        <v>102813</v>
      </c>
      <c r="Z136" s="4" t="str">
        <f>""</f>
        <v/>
      </c>
      <c r="AA136" s="4" t="str">
        <f>""</f>
        <v/>
      </c>
      <c r="AB136" s="5">
        <v>43465</v>
      </c>
      <c r="AC136" s="4">
        <v>0</v>
      </c>
    </row>
    <row r="137" spans="1:29" ht="14.45" customHeight="1" x14ac:dyDescent="0.25">
      <c r="A137" s="4" t="s">
        <v>25</v>
      </c>
      <c r="B137" s="4" t="s">
        <v>139</v>
      </c>
      <c r="C137" s="4" t="s">
        <v>140</v>
      </c>
      <c r="D137" s="4" t="s">
        <v>28</v>
      </c>
      <c r="E137" s="4" t="s">
        <v>249</v>
      </c>
      <c r="F137" s="4" t="s">
        <v>250</v>
      </c>
      <c r="G137" s="4" t="s">
        <v>250</v>
      </c>
      <c r="H137" s="4" t="s">
        <v>251</v>
      </c>
      <c r="I137" s="4" t="s">
        <v>74</v>
      </c>
      <c r="J137" s="4" t="str">
        <f>"6625SB0002827"</f>
        <v>6625SB0002827</v>
      </c>
      <c r="K137" s="4" t="s">
        <v>112</v>
      </c>
      <c r="L137" s="4" t="str">
        <f>""</f>
        <v/>
      </c>
      <c r="M137" s="4" t="str">
        <f>""</f>
        <v/>
      </c>
      <c r="N137" s="4" t="s">
        <v>34</v>
      </c>
      <c r="O137" s="3"/>
      <c r="P137" s="3"/>
      <c r="Q137" s="3"/>
      <c r="R137" s="4" t="s">
        <v>35</v>
      </c>
      <c r="S137" s="3"/>
      <c r="T137" s="4" t="str">
        <f>"102813"</f>
        <v>102813</v>
      </c>
      <c r="U137" s="4" t="str">
        <f>"01-127503"</f>
        <v>01-127503</v>
      </c>
      <c r="V137" s="4" t="str">
        <f>"1822"</f>
        <v>1822</v>
      </c>
      <c r="W137" s="4" t="s">
        <v>36</v>
      </c>
      <c r="X137" s="4" t="str">
        <f>"02MQ7"</f>
        <v>02MQ7</v>
      </c>
      <c r="Y137" s="4" t="str">
        <f>"102813"</f>
        <v>102813</v>
      </c>
      <c r="Z137" s="4" t="str">
        <f>""</f>
        <v/>
      </c>
      <c r="AA137" s="4" t="str">
        <f>""</f>
        <v/>
      </c>
      <c r="AB137" s="5">
        <v>43465</v>
      </c>
      <c r="AC137" s="4">
        <v>0</v>
      </c>
    </row>
    <row r="138" spans="1:29" ht="14.45" customHeight="1" x14ac:dyDescent="0.25">
      <c r="A138" s="4" t="s">
        <v>25</v>
      </c>
      <c r="B138" s="4" t="s">
        <v>139</v>
      </c>
      <c r="C138" s="4" t="s">
        <v>140</v>
      </c>
      <c r="D138" s="4" t="s">
        <v>28</v>
      </c>
      <c r="E138" s="4" t="s">
        <v>249</v>
      </c>
      <c r="F138" s="4" t="s">
        <v>250</v>
      </c>
      <c r="G138" s="4" t="s">
        <v>250</v>
      </c>
      <c r="H138" s="4" t="s">
        <v>251</v>
      </c>
      <c r="I138" s="4" t="s">
        <v>300</v>
      </c>
      <c r="J138" s="4" t="str">
        <f>"6625SB0003360"</f>
        <v>6625SB0003360</v>
      </c>
      <c r="K138" s="4" t="s">
        <v>301</v>
      </c>
      <c r="L138" s="4" t="str">
        <f>""</f>
        <v/>
      </c>
      <c r="M138" s="4" t="str">
        <f>""</f>
        <v/>
      </c>
      <c r="N138" s="4" t="s">
        <v>34</v>
      </c>
      <c r="O138" s="3"/>
      <c r="P138" s="3"/>
      <c r="Q138" s="3"/>
      <c r="R138" s="4" t="s">
        <v>35</v>
      </c>
      <c r="S138" s="3"/>
      <c r="T138" s="4" t="str">
        <f>"6625013128743"</f>
        <v>6625013128743</v>
      </c>
      <c r="U138" s="4" t="str">
        <f>"01-113795"</f>
        <v>01-113795</v>
      </c>
      <c r="V138" s="4" t="str">
        <f>"MY41094855"</f>
        <v>MY41094855</v>
      </c>
      <c r="W138" s="4" t="s">
        <v>36</v>
      </c>
      <c r="X138" s="4" t="str">
        <f>"1LQK8"</f>
        <v>1LQK8</v>
      </c>
      <c r="Y138" s="4" t="str">
        <f>"8481D"</f>
        <v>8481D</v>
      </c>
      <c r="Z138" s="4" t="str">
        <f>""</f>
        <v/>
      </c>
      <c r="AA138" s="4" t="str">
        <f>""</f>
        <v/>
      </c>
      <c r="AB138" s="5">
        <v>43465</v>
      </c>
      <c r="AC138" s="4">
        <v>0</v>
      </c>
    </row>
    <row r="139" spans="1:29" ht="14.45" customHeight="1" x14ac:dyDescent="0.25">
      <c r="A139" s="4" t="s">
        <v>25</v>
      </c>
      <c r="B139" s="4" t="s">
        <v>139</v>
      </c>
      <c r="C139" s="4" t="s">
        <v>140</v>
      </c>
      <c r="D139" s="4" t="s">
        <v>28</v>
      </c>
      <c r="E139" s="4" t="s">
        <v>249</v>
      </c>
      <c r="F139" s="4" t="s">
        <v>250</v>
      </c>
      <c r="G139" s="4" t="s">
        <v>250</v>
      </c>
      <c r="H139" s="4" t="s">
        <v>251</v>
      </c>
      <c r="I139" s="4" t="s">
        <v>113</v>
      </c>
      <c r="J139" s="4" t="str">
        <f>"6625SB0003458"</f>
        <v>6625SB0003458</v>
      </c>
      <c r="K139" s="4" t="s">
        <v>114</v>
      </c>
      <c r="L139" s="4" t="str">
        <f>""</f>
        <v/>
      </c>
      <c r="M139" s="4" t="str">
        <f>""</f>
        <v/>
      </c>
      <c r="N139" s="4" t="s">
        <v>34</v>
      </c>
      <c r="O139" s="3"/>
      <c r="P139" s="3"/>
      <c r="Q139" s="3"/>
      <c r="R139" s="4" t="s">
        <v>35</v>
      </c>
      <c r="S139" s="3"/>
      <c r="T139" s="4" t="str">
        <f>"10537-05013"</f>
        <v>10537-05013</v>
      </c>
      <c r="U139" s="4" t="str">
        <f>"01-113911"</f>
        <v>01-113911</v>
      </c>
      <c r="V139" s="4" t="str">
        <f>"1000852"</f>
        <v>1000852</v>
      </c>
      <c r="W139" s="4" t="s">
        <v>36</v>
      </c>
      <c r="X139" s="4" t="str">
        <f>"02MQ7"</f>
        <v>02MQ7</v>
      </c>
      <c r="Y139" s="4" t="str">
        <f>"10537-05013"</f>
        <v>10537-05013</v>
      </c>
      <c r="Z139" s="4" t="str">
        <f>""</f>
        <v/>
      </c>
      <c r="AA139" s="4" t="str">
        <f>""</f>
        <v/>
      </c>
      <c r="AB139" s="5">
        <v>43465</v>
      </c>
      <c r="AC139" s="4">
        <v>0</v>
      </c>
    </row>
    <row r="140" spans="1:29" ht="14.45" customHeight="1" x14ac:dyDescent="0.25">
      <c r="A140" s="4" t="s">
        <v>25</v>
      </c>
      <c r="B140" s="4" t="s">
        <v>139</v>
      </c>
      <c r="C140" s="4" t="s">
        <v>140</v>
      </c>
      <c r="D140" s="4" t="s">
        <v>28</v>
      </c>
      <c r="E140" s="4" t="s">
        <v>249</v>
      </c>
      <c r="F140" s="4" t="s">
        <v>250</v>
      </c>
      <c r="G140" s="4" t="s">
        <v>250</v>
      </c>
      <c r="H140" s="4" t="s">
        <v>251</v>
      </c>
      <c r="I140" s="4" t="s">
        <v>302</v>
      </c>
      <c r="J140" s="4" t="str">
        <f>"6625SB0003828"</f>
        <v>6625SB0003828</v>
      </c>
      <c r="K140" s="4" t="s">
        <v>303</v>
      </c>
      <c r="L140" s="4" t="str">
        <f>""</f>
        <v/>
      </c>
      <c r="M140" s="4" t="str">
        <f>""</f>
        <v/>
      </c>
      <c r="N140" s="4" t="s">
        <v>34</v>
      </c>
      <c r="O140" s="3"/>
      <c r="P140" s="3"/>
      <c r="Q140" s="3"/>
      <c r="R140" s="4" t="s">
        <v>35</v>
      </c>
      <c r="S140" s="3"/>
      <c r="T140" s="4" t="str">
        <f>"6625014770908"</f>
        <v>6625014770908</v>
      </c>
      <c r="U140" s="4" t="str">
        <f>"01-113796"</f>
        <v>01-113796</v>
      </c>
      <c r="V140" s="4" t="str">
        <f>"SG45102142"</f>
        <v>SG45102142</v>
      </c>
      <c r="W140" s="4" t="s">
        <v>36</v>
      </c>
      <c r="X140" s="4" t="str">
        <f>"L3304"</f>
        <v>L3304</v>
      </c>
      <c r="Y140" s="4" t="str">
        <f>"E4418B"</f>
        <v>E4418B</v>
      </c>
      <c r="Z140" s="4" t="str">
        <f>""</f>
        <v/>
      </c>
      <c r="AA140" s="4" t="str">
        <f>""</f>
        <v/>
      </c>
      <c r="AB140" s="5">
        <v>43465</v>
      </c>
      <c r="AC140" s="4">
        <v>0</v>
      </c>
    </row>
    <row r="141" spans="1:29" ht="14.45" customHeight="1" x14ac:dyDescent="0.25">
      <c r="A141" s="4" t="s">
        <v>25</v>
      </c>
      <c r="B141" s="4" t="s">
        <v>139</v>
      </c>
      <c r="C141" s="4" t="s">
        <v>140</v>
      </c>
      <c r="D141" s="4" t="s">
        <v>28</v>
      </c>
      <c r="E141" s="4" t="s">
        <v>249</v>
      </c>
      <c r="F141" s="4" t="s">
        <v>250</v>
      </c>
      <c r="G141" s="4" t="s">
        <v>250</v>
      </c>
      <c r="H141" s="4" t="s">
        <v>251</v>
      </c>
      <c r="I141" s="4" t="s">
        <v>304</v>
      </c>
      <c r="J141" s="4" t="str">
        <f>"6625SB0003911"</f>
        <v>6625SB0003911</v>
      </c>
      <c r="K141" s="4" t="s">
        <v>305</v>
      </c>
      <c r="L141" s="4" t="str">
        <f>""</f>
        <v/>
      </c>
      <c r="M141" s="4" t="str">
        <f>""</f>
        <v/>
      </c>
      <c r="N141" s="4" t="s">
        <v>34</v>
      </c>
      <c r="O141" s="3"/>
      <c r="P141" s="3"/>
      <c r="Q141" s="3"/>
      <c r="R141" s="4" t="s">
        <v>35</v>
      </c>
      <c r="S141" s="3"/>
      <c r="T141" s="4" t="str">
        <f>"CSC-ETHTR-P3"</f>
        <v>CSC-ETHTR-P3</v>
      </c>
      <c r="U141" s="4" t="str">
        <f>"NCIA10148229"</f>
        <v>NCIA10148229</v>
      </c>
      <c r="V141" s="4" t="str">
        <f>"RSCU0082159593"</f>
        <v>RSCU0082159593</v>
      </c>
      <c r="W141" s="4" t="s">
        <v>36</v>
      </c>
      <c r="X141" s="4" t="str">
        <f>"C9321"</f>
        <v>C9321</v>
      </c>
      <c r="Y141" s="4" t="str">
        <f>"CSC-ETHTR-P3"</f>
        <v>CSC-ETHTR-P3</v>
      </c>
      <c r="Z141" s="4" t="str">
        <f>""</f>
        <v/>
      </c>
      <c r="AA141" s="4" t="str">
        <f>""</f>
        <v/>
      </c>
      <c r="AB141" s="5">
        <v>43465</v>
      </c>
      <c r="AC141" s="4">
        <v>0</v>
      </c>
    </row>
    <row r="142" spans="1:29" ht="14.45" customHeight="1" x14ac:dyDescent="0.25">
      <c r="A142" s="4" t="s">
        <v>25</v>
      </c>
      <c r="B142" s="4" t="s">
        <v>139</v>
      </c>
      <c r="C142" s="4" t="s">
        <v>140</v>
      </c>
      <c r="D142" s="4" t="s">
        <v>28</v>
      </c>
      <c r="E142" s="4" t="s">
        <v>249</v>
      </c>
      <c r="F142" s="4" t="s">
        <v>250</v>
      </c>
      <c r="G142" s="4" t="s">
        <v>250</v>
      </c>
      <c r="H142" s="4" t="s">
        <v>251</v>
      </c>
      <c r="I142" s="4" t="s">
        <v>113</v>
      </c>
      <c r="J142" s="4" t="str">
        <f>"6625SB0003968"</f>
        <v>6625SB0003968</v>
      </c>
      <c r="K142" s="4" t="s">
        <v>306</v>
      </c>
      <c r="L142" s="4" t="str">
        <f>""</f>
        <v/>
      </c>
      <c r="M142" s="4" t="str">
        <f>""</f>
        <v/>
      </c>
      <c r="N142" s="4" t="s">
        <v>34</v>
      </c>
      <c r="O142" s="3"/>
      <c r="P142" s="3"/>
      <c r="Q142" s="3"/>
      <c r="R142" s="4" t="s">
        <v>35</v>
      </c>
      <c r="S142" s="3"/>
      <c r="T142" s="4" t="str">
        <f>"TL2084EB"</f>
        <v>TL2084EB</v>
      </c>
      <c r="U142" s="4" t="str">
        <f>"01-114141"</f>
        <v>01-114141</v>
      </c>
      <c r="V142" s="4" t="str">
        <f>"6439242"</f>
        <v>6439242</v>
      </c>
      <c r="W142" s="4" t="s">
        <v>36</v>
      </c>
      <c r="X142" s="4" t="str">
        <f>"1KRX8"</f>
        <v>1KRX8</v>
      </c>
      <c r="Y142" s="4" t="str">
        <f>"TL2084EB"</f>
        <v>TL2084EB</v>
      </c>
      <c r="Z142" s="4" t="str">
        <f>""</f>
        <v/>
      </c>
      <c r="AA142" s="4" t="str">
        <f>""</f>
        <v/>
      </c>
      <c r="AB142" s="5">
        <v>43465</v>
      </c>
      <c r="AC142" s="4">
        <v>0</v>
      </c>
    </row>
    <row r="143" spans="1:29" ht="14.45" customHeight="1" x14ac:dyDescent="0.25">
      <c r="A143" s="4" t="s">
        <v>25</v>
      </c>
      <c r="B143" s="4" t="s">
        <v>139</v>
      </c>
      <c r="C143" s="4" t="s">
        <v>140</v>
      </c>
      <c r="D143" s="4" t="s">
        <v>28</v>
      </c>
      <c r="E143" s="4" t="s">
        <v>249</v>
      </c>
      <c r="F143" s="4" t="s">
        <v>250</v>
      </c>
      <c r="G143" s="4" t="s">
        <v>250</v>
      </c>
      <c r="H143" s="4" t="s">
        <v>251</v>
      </c>
      <c r="I143" s="4" t="s">
        <v>66</v>
      </c>
      <c r="J143" s="4" t="str">
        <f>"6625SB0004289"</f>
        <v>6625SB0004289</v>
      </c>
      <c r="K143" s="4" t="s">
        <v>307</v>
      </c>
      <c r="L143" s="4" t="str">
        <f>""</f>
        <v/>
      </c>
      <c r="M143" s="4" t="str">
        <f>""</f>
        <v/>
      </c>
      <c r="N143" s="4" t="s">
        <v>34</v>
      </c>
      <c r="O143" s="3"/>
      <c r="P143" s="3"/>
      <c r="Q143" s="3"/>
      <c r="R143" s="4" t="s">
        <v>35</v>
      </c>
      <c r="S143" s="3"/>
      <c r="T143" s="4" t="str">
        <f>"S6200R1A0C0A0A0"</f>
        <v>S6200R1A0C0A0A0</v>
      </c>
      <c r="U143" s="4" t="str">
        <f>"01-114140"</f>
        <v>01-114140</v>
      </c>
      <c r="V143" s="4" t="str">
        <f>"LY-09100070-01"</f>
        <v>LY-09100070-01</v>
      </c>
      <c r="W143" s="4" t="s">
        <v>36</v>
      </c>
      <c r="X143" s="4" t="str">
        <f>"KC2A7"</f>
        <v>KC2A7</v>
      </c>
      <c r="Y143" s="4" t="str">
        <f>"S6200R1A0C0A0A0P"</f>
        <v>S6200R1A0C0A0A0P</v>
      </c>
      <c r="Z143" s="4" t="str">
        <f>""</f>
        <v/>
      </c>
      <c r="AA143" s="4" t="str">
        <f>""</f>
        <v/>
      </c>
      <c r="AB143" s="5">
        <v>43465</v>
      </c>
      <c r="AC143" s="4">
        <v>0</v>
      </c>
    </row>
    <row r="144" spans="1:29" ht="14.45" customHeight="1" x14ac:dyDescent="0.25">
      <c r="A144" s="4" t="s">
        <v>25</v>
      </c>
      <c r="B144" s="4" t="s">
        <v>139</v>
      </c>
      <c r="C144" s="4" t="s">
        <v>140</v>
      </c>
      <c r="D144" s="4" t="s">
        <v>28</v>
      </c>
      <c r="E144" s="4" t="s">
        <v>249</v>
      </c>
      <c r="F144" s="4" t="s">
        <v>250</v>
      </c>
      <c r="G144" s="4" t="s">
        <v>250</v>
      </c>
      <c r="H144" s="4" t="s">
        <v>251</v>
      </c>
      <c r="I144" s="4" t="s">
        <v>227</v>
      </c>
      <c r="J144" s="4" t="str">
        <f>"6625SB0004511"</f>
        <v>6625SB0004511</v>
      </c>
      <c r="K144" s="4" t="s">
        <v>228</v>
      </c>
      <c r="L144" s="4" t="str">
        <f>""</f>
        <v/>
      </c>
      <c r="M144" s="4" t="str">
        <f>""</f>
        <v/>
      </c>
      <c r="N144" s="4" t="s">
        <v>34</v>
      </c>
      <c r="O144" s="3"/>
      <c r="P144" s="3"/>
      <c r="Q144" s="3"/>
      <c r="R144" s="4" t="s">
        <v>35</v>
      </c>
      <c r="S144" s="3"/>
      <c r="T144" s="4" t="str">
        <f>"6625123552053"</f>
        <v>6625123552053</v>
      </c>
      <c r="U144" s="4" t="str">
        <f>"NCIA10233090"</f>
        <v>NCIA10233090</v>
      </c>
      <c r="V144" s="4" t="str">
        <f>"BB-0269"</f>
        <v>BB-0269</v>
      </c>
      <c r="W144" s="4" t="s">
        <v>36</v>
      </c>
      <c r="X144" s="4" t="str">
        <f>"D3063"</f>
        <v>D3063</v>
      </c>
      <c r="Y144" s="4" t="str">
        <f>"BN-2251/06/E"</f>
        <v>BN-2251/06/E</v>
      </c>
      <c r="Z144" s="4" t="str">
        <f>""</f>
        <v/>
      </c>
      <c r="AA144" s="4" t="str">
        <f>""</f>
        <v/>
      </c>
      <c r="AB144" s="5">
        <v>43465</v>
      </c>
      <c r="AC144" s="4">
        <v>0</v>
      </c>
    </row>
    <row r="145" spans="1:29" ht="14.45" customHeight="1" x14ac:dyDescent="0.25">
      <c r="A145" s="4" t="s">
        <v>25</v>
      </c>
      <c r="B145" s="4" t="s">
        <v>139</v>
      </c>
      <c r="C145" s="4" t="s">
        <v>140</v>
      </c>
      <c r="D145" s="4" t="s">
        <v>28</v>
      </c>
      <c r="E145" s="4" t="s">
        <v>249</v>
      </c>
      <c r="F145" s="4" t="s">
        <v>250</v>
      </c>
      <c r="G145" s="4" t="s">
        <v>250</v>
      </c>
      <c r="H145" s="4" t="s">
        <v>251</v>
      </c>
      <c r="I145" s="4" t="s">
        <v>113</v>
      </c>
      <c r="J145" s="4" t="str">
        <f>"6625SB0005866"</f>
        <v>6625SB0005866</v>
      </c>
      <c r="K145" s="4" t="s">
        <v>308</v>
      </c>
      <c r="L145" s="4" t="str">
        <f>""</f>
        <v/>
      </c>
      <c r="M145" s="4" t="str">
        <f>""</f>
        <v/>
      </c>
      <c r="N145" s="4" t="s">
        <v>34</v>
      </c>
      <c r="O145" s="3"/>
      <c r="P145" s="3"/>
      <c r="Q145" s="3"/>
      <c r="R145" s="4" t="s">
        <v>35</v>
      </c>
      <c r="S145" s="3"/>
      <c r="T145" s="4" t="str">
        <f>"6625016081940"</f>
        <v>6625016081940</v>
      </c>
      <c r="U145" s="4" t="str">
        <f>"03-114138"</f>
        <v>03-114138</v>
      </c>
      <c r="V145" s="4" t="str">
        <f>"19990054"</f>
        <v>19990054</v>
      </c>
      <c r="W145" s="4" t="s">
        <v>36</v>
      </c>
      <c r="X145" s="4" t="str">
        <f>"89536"</f>
        <v>89536</v>
      </c>
      <c r="Y145" s="4" t="str">
        <f>"FLUKE 28 II"</f>
        <v>FLUKE 28 II</v>
      </c>
      <c r="Z145" s="4" t="str">
        <f>""</f>
        <v/>
      </c>
      <c r="AA145" s="4" t="str">
        <f>""</f>
        <v/>
      </c>
      <c r="AB145" s="5">
        <v>43465</v>
      </c>
      <c r="AC145" s="4">
        <v>0</v>
      </c>
    </row>
    <row r="146" spans="1:29" ht="14.45" customHeight="1" x14ac:dyDescent="0.25">
      <c r="A146" s="4" t="s">
        <v>25</v>
      </c>
      <c r="B146" s="4" t="s">
        <v>139</v>
      </c>
      <c r="C146" s="4" t="s">
        <v>140</v>
      </c>
      <c r="D146" s="4" t="s">
        <v>28</v>
      </c>
      <c r="E146" s="4" t="s">
        <v>249</v>
      </c>
      <c r="F146" s="4" t="s">
        <v>250</v>
      </c>
      <c r="G146" s="4" t="s">
        <v>250</v>
      </c>
      <c r="H146" s="4" t="s">
        <v>251</v>
      </c>
      <c r="I146" s="4" t="s">
        <v>309</v>
      </c>
      <c r="J146" s="4" t="str">
        <f>"6625SB0006933"</f>
        <v>6625SB0006933</v>
      </c>
      <c r="K146" s="4" t="s">
        <v>310</v>
      </c>
      <c r="L146" s="4" t="str">
        <f>""</f>
        <v/>
      </c>
      <c r="M146" s="4" t="str">
        <f>""</f>
        <v/>
      </c>
      <c r="N146" s="4" t="s">
        <v>34</v>
      </c>
      <c r="O146" s="3"/>
      <c r="P146" s="3"/>
      <c r="Q146" s="3"/>
      <c r="R146" s="4" t="s">
        <v>35</v>
      </c>
      <c r="S146" s="3"/>
      <c r="T146" s="4" t="str">
        <f>"5985011056211"</f>
        <v>5985011056211</v>
      </c>
      <c r="U146" s="4" t="str">
        <f>"03-131150"</f>
        <v>03-131150</v>
      </c>
      <c r="V146" s="4" t="str">
        <f>"63836"</f>
        <v>63836</v>
      </c>
      <c r="W146" s="4" t="s">
        <v>36</v>
      </c>
      <c r="X146" s="4" t="str">
        <f>"28480"</f>
        <v>28480</v>
      </c>
      <c r="Y146" s="4" t="str">
        <f>"11708A"</f>
        <v>11708A</v>
      </c>
      <c r="Z146" s="4" t="str">
        <f>""</f>
        <v/>
      </c>
      <c r="AA146" s="4" t="str">
        <f>""</f>
        <v/>
      </c>
      <c r="AB146" s="5">
        <v>43465</v>
      </c>
      <c r="AC146" s="4">
        <v>0</v>
      </c>
    </row>
    <row r="147" spans="1:29" ht="14.45" customHeight="1" x14ac:dyDescent="0.25">
      <c r="A147" s="4" t="s">
        <v>25</v>
      </c>
      <c r="B147" s="4" t="s">
        <v>139</v>
      </c>
      <c r="C147" s="4" t="s">
        <v>140</v>
      </c>
      <c r="D147" s="4" t="s">
        <v>28</v>
      </c>
      <c r="E147" s="4" t="s">
        <v>249</v>
      </c>
      <c r="F147" s="4" t="s">
        <v>250</v>
      </c>
      <c r="G147" s="4" t="s">
        <v>250</v>
      </c>
      <c r="H147" s="4" t="s">
        <v>251</v>
      </c>
      <c r="I147" s="4" t="s">
        <v>113</v>
      </c>
      <c r="J147" s="4" t="str">
        <f>"6625SB0008497"</f>
        <v>6625SB0008497</v>
      </c>
      <c r="K147" s="4" t="s">
        <v>311</v>
      </c>
      <c r="L147" s="4" t="str">
        <f>""</f>
        <v/>
      </c>
      <c r="M147" s="4" t="str">
        <f>""</f>
        <v/>
      </c>
      <c r="N147" s="4" t="s">
        <v>34</v>
      </c>
      <c r="O147" s="3"/>
      <c r="P147" s="3"/>
      <c r="Q147" s="3"/>
      <c r="R147" s="4" t="s">
        <v>35</v>
      </c>
      <c r="S147" s="3"/>
      <c r="T147" s="4" t="str">
        <f>"BW-N10W5+"</f>
        <v>BW-N10W5+</v>
      </c>
      <c r="U147" s="4" t="str">
        <f>"NCIA10291415"</f>
        <v>NCIA10291415</v>
      </c>
      <c r="V147" s="4" t="str">
        <f>""</f>
        <v/>
      </c>
      <c r="W147" s="4" t="s">
        <v>36</v>
      </c>
      <c r="X147" s="4" t="str">
        <f>"1AV65"</f>
        <v>1AV65</v>
      </c>
      <c r="Y147" s="4" t="str">
        <f>"BW-N10W5+"</f>
        <v>BW-N10W5+</v>
      </c>
      <c r="Z147" s="4" t="str">
        <f>""</f>
        <v/>
      </c>
      <c r="AA147" s="4" t="str">
        <f>""</f>
        <v/>
      </c>
      <c r="AB147" s="5">
        <v>43465</v>
      </c>
      <c r="AC147" s="4">
        <v>0</v>
      </c>
    </row>
    <row r="148" spans="1:29" ht="14.45" customHeight="1" x14ac:dyDescent="0.25">
      <c r="A148" s="4" t="s">
        <v>25</v>
      </c>
      <c r="B148" s="4" t="s">
        <v>139</v>
      </c>
      <c r="C148" s="4" t="s">
        <v>140</v>
      </c>
      <c r="D148" s="4" t="s">
        <v>28</v>
      </c>
      <c r="E148" s="4" t="s">
        <v>249</v>
      </c>
      <c r="F148" s="4" t="s">
        <v>250</v>
      </c>
      <c r="G148" s="4" t="s">
        <v>250</v>
      </c>
      <c r="H148" s="4" t="s">
        <v>251</v>
      </c>
      <c r="I148" s="4" t="s">
        <v>113</v>
      </c>
      <c r="J148" s="4" t="str">
        <f>"6625SB0008498"</f>
        <v>6625SB0008498</v>
      </c>
      <c r="K148" s="4" t="s">
        <v>312</v>
      </c>
      <c r="L148" s="4" t="str">
        <f>""</f>
        <v/>
      </c>
      <c r="M148" s="4" t="str">
        <f>""</f>
        <v/>
      </c>
      <c r="N148" s="4" t="s">
        <v>34</v>
      </c>
      <c r="O148" s="3"/>
      <c r="P148" s="3"/>
      <c r="Q148" s="3"/>
      <c r="R148" s="4" t="s">
        <v>35</v>
      </c>
      <c r="S148" s="3"/>
      <c r="T148" s="4" t="str">
        <f>"BW-N20W5+"</f>
        <v>BW-N20W5+</v>
      </c>
      <c r="U148" s="4" t="str">
        <f>"NCIA10291416"</f>
        <v>NCIA10291416</v>
      </c>
      <c r="V148" s="4" t="str">
        <f>""</f>
        <v/>
      </c>
      <c r="W148" s="4" t="s">
        <v>36</v>
      </c>
      <c r="X148" s="4" t="str">
        <f>"1AV65"</f>
        <v>1AV65</v>
      </c>
      <c r="Y148" s="4" t="str">
        <f>"BW-N20W5+"</f>
        <v>BW-N20W5+</v>
      </c>
      <c r="Z148" s="4" t="str">
        <f>""</f>
        <v/>
      </c>
      <c r="AA148" s="4" t="str">
        <f>""</f>
        <v/>
      </c>
      <c r="AB148" s="5">
        <v>43465</v>
      </c>
      <c r="AC148" s="4">
        <v>0</v>
      </c>
    </row>
    <row r="149" spans="1:29" ht="14.45" customHeight="1" x14ac:dyDescent="0.25">
      <c r="A149" s="4" t="s">
        <v>25</v>
      </c>
      <c r="B149" s="4" t="s">
        <v>139</v>
      </c>
      <c r="C149" s="4" t="s">
        <v>140</v>
      </c>
      <c r="D149" s="4" t="s">
        <v>28</v>
      </c>
      <c r="E149" s="4" t="s">
        <v>249</v>
      </c>
      <c r="F149" s="4" t="s">
        <v>250</v>
      </c>
      <c r="G149" s="4" t="s">
        <v>250</v>
      </c>
      <c r="H149" s="4" t="s">
        <v>251</v>
      </c>
      <c r="I149" s="4" t="s">
        <v>113</v>
      </c>
      <c r="J149" s="4" t="str">
        <f>"6625SB0008499"</f>
        <v>6625SB0008499</v>
      </c>
      <c r="K149" s="4" t="s">
        <v>313</v>
      </c>
      <c r="L149" s="4" t="str">
        <f>""</f>
        <v/>
      </c>
      <c r="M149" s="4" t="str">
        <f>""</f>
        <v/>
      </c>
      <c r="N149" s="4" t="s">
        <v>34</v>
      </c>
      <c r="O149" s="3"/>
      <c r="P149" s="3"/>
      <c r="Q149" s="3"/>
      <c r="R149" s="4" t="s">
        <v>35</v>
      </c>
      <c r="S149" s="3"/>
      <c r="T149" s="4" t="str">
        <f>"BW-N3W5+"</f>
        <v>BW-N3W5+</v>
      </c>
      <c r="U149" s="4" t="str">
        <f>"NCIA10291389"</f>
        <v>NCIA10291389</v>
      </c>
      <c r="V149" s="4" t="str">
        <f>""</f>
        <v/>
      </c>
      <c r="W149" s="4" t="s">
        <v>36</v>
      </c>
      <c r="X149" s="4" t="str">
        <f>"1AV65"</f>
        <v>1AV65</v>
      </c>
      <c r="Y149" s="4" t="str">
        <f>"BW-N3W5+"</f>
        <v>BW-N3W5+</v>
      </c>
      <c r="Z149" s="4" t="str">
        <f>""</f>
        <v/>
      </c>
      <c r="AA149" s="4" t="str">
        <f>""</f>
        <v/>
      </c>
      <c r="AB149" s="5">
        <v>43465</v>
      </c>
      <c r="AC149" s="4">
        <v>0</v>
      </c>
    </row>
    <row r="150" spans="1:29" ht="14.45" customHeight="1" x14ac:dyDescent="0.25">
      <c r="A150" s="4" t="s">
        <v>25</v>
      </c>
      <c r="B150" s="4" t="s">
        <v>139</v>
      </c>
      <c r="C150" s="4" t="s">
        <v>140</v>
      </c>
      <c r="D150" s="4" t="s">
        <v>28</v>
      </c>
      <c r="E150" s="4" t="s">
        <v>249</v>
      </c>
      <c r="F150" s="4" t="s">
        <v>250</v>
      </c>
      <c r="G150" s="4" t="s">
        <v>250</v>
      </c>
      <c r="H150" s="4" t="s">
        <v>251</v>
      </c>
      <c r="I150" s="4" t="s">
        <v>113</v>
      </c>
      <c r="J150" s="4" t="str">
        <f>"6625SB0008500"</f>
        <v>6625SB0008500</v>
      </c>
      <c r="K150" s="4" t="s">
        <v>314</v>
      </c>
      <c r="L150" s="4" t="str">
        <f>""</f>
        <v/>
      </c>
      <c r="M150" s="4" t="str">
        <f>""</f>
        <v/>
      </c>
      <c r="N150" s="4" t="s">
        <v>34</v>
      </c>
      <c r="O150" s="3"/>
      <c r="P150" s="3"/>
      <c r="Q150" s="3"/>
      <c r="R150" s="4" t="s">
        <v>35</v>
      </c>
      <c r="S150" s="3"/>
      <c r="T150" s="4" t="str">
        <f>"BW-N6W5+"</f>
        <v>BW-N6W5+</v>
      </c>
      <c r="U150" s="4" t="str">
        <f>"NCIA10291414"</f>
        <v>NCIA10291414</v>
      </c>
      <c r="V150" s="4" t="str">
        <f>"0607"</f>
        <v>0607</v>
      </c>
      <c r="W150" s="4" t="s">
        <v>36</v>
      </c>
      <c r="X150" s="4" t="str">
        <f>"1AV65"</f>
        <v>1AV65</v>
      </c>
      <c r="Y150" s="4" t="str">
        <f>"BW-N6W5+"</f>
        <v>BW-N6W5+</v>
      </c>
      <c r="Z150" s="4" t="str">
        <f>""</f>
        <v/>
      </c>
      <c r="AA150" s="4" t="str">
        <f>""</f>
        <v/>
      </c>
      <c r="AB150" s="5">
        <v>43465</v>
      </c>
      <c r="AC150" s="4">
        <v>0</v>
      </c>
    </row>
    <row r="151" spans="1:29" ht="14.45" customHeight="1" x14ac:dyDescent="0.25">
      <c r="A151" s="4" t="s">
        <v>25</v>
      </c>
      <c r="B151" s="4" t="s">
        <v>139</v>
      </c>
      <c r="C151" s="4" t="s">
        <v>140</v>
      </c>
      <c r="D151" s="4" t="s">
        <v>28</v>
      </c>
      <c r="E151" s="4" t="s">
        <v>249</v>
      </c>
      <c r="F151" s="4" t="s">
        <v>250</v>
      </c>
      <c r="G151" s="4" t="s">
        <v>250</v>
      </c>
      <c r="H151" s="4" t="s">
        <v>251</v>
      </c>
      <c r="I151" s="4" t="s">
        <v>126</v>
      </c>
      <c r="J151" s="4" t="str">
        <f>"7021SB0016807"</f>
        <v>7021SB0016807</v>
      </c>
      <c r="K151" s="4" t="s">
        <v>234</v>
      </c>
      <c r="L151" s="4" t="str">
        <f>""</f>
        <v/>
      </c>
      <c r="M151" s="4" t="str">
        <f>""</f>
        <v/>
      </c>
      <c r="N151" s="4" t="s">
        <v>34</v>
      </c>
      <c r="O151" s="3"/>
      <c r="P151" s="3"/>
      <c r="Q151" s="3"/>
      <c r="R151" s="4" t="s">
        <v>35</v>
      </c>
      <c r="S151" s="3"/>
      <c r="T151" s="4" t="str">
        <f>"10537-08007"</f>
        <v>10537-08007</v>
      </c>
      <c r="U151" s="4" t="str">
        <f>"01-117005"</f>
        <v>01-117005</v>
      </c>
      <c r="V151" s="4" t="str">
        <f>"1001169"</f>
        <v>1001169</v>
      </c>
      <c r="W151" s="4" t="s">
        <v>36</v>
      </c>
      <c r="X151" s="4" t="str">
        <f>"B1752"</f>
        <v>B1752</v>
      </c>
      <c r="Y151" s="4" t="str">
        <f>"DELL-R200"</f>
        <v>DELL-R200</v>
      </c>
      <c r="Z151" s="4" t="str">
        <f>""</f>
        <v/>
      </c>
      <c r="AA151" s="4" t="str">
        <f>""</f>
        <v/>
      </c>
      <c r="AB151" s="5">
        <v>43465</v>
      </c>
      <c r="AC151" s="4">
        <v>0</v>
      </c>
    </row>
    <row r="152" spans="1:29" ht="14.45" customHeight="1" x14ac:dyDescent="0.25">
      <c r="A152" s="4" t="s">
        <v>25</v>
      </c>
      <c r="B152" s="4" t="s">
        <v>139</v>
      </c>
      <c r="C152" s="4" t="s">
        <v>140</v>
      </c>
      <c r="D152" s="4" t="s">
        <v>28</v>
      </c>
      <c r="E152" s="4" t="s">
        <v>249</v>
      </c>
      <c r="F152" s="4" t="s">
        <v>250</v>
      </c>
      <c r="G152" s="4" t="s">
        <v>250</v>
      </c>
      <c r="H152" s="4" t="s">
        <v>251</v>
      </c>
      <c r="I152" s="4" t="s">
        <v>119</v>
      </c>
      <c r="J152" s="4" t="str">
        <f>"7021SB0040903"</f>
        <v>7021SB0040903</v>
      </c>
      <c r="K152" s="4" t="s">
        <v>120</v>
      </c>
      <c r="L152" s="4" t="str">
        <f>""</f>
        <v/>
      </c>
      <c r="M152" s="4" t="str">
        <f>""</f>
        <v/>
      </c>
      <c r="N152" s="4" t="s">
        <v>34</v>
      </c>
      <c r="O152" s="3"/>
      <c r="P152" s="3"/>
      <c r="Q152" s="3"/>
      <c r="R152" s="4" t="s">
        <v>35</v>
      </c>
      <c r="S152" s="3"/>
      <c r="T152" s="4" t="str">
        <f>"7021145879492"</f>
        <v>7021145879492</v>
      </c>
      <c r="U152" s="4" t="str">
        <f>"NCIA10400161"</f>
        <v>NCIA10400161</v>
      </c>
      <c r="V152" s="4" t="str">
        <f>"181019-0083989-00006"</f>
        <v>181019-0083989-00006</v>
      </c>
      <c r="W152" s="4" t="s">
        <v>36</v>
      </c>
      <c r="X152" s="4" t="str">
        <f>"F5511"</f>
        <v>F5511</v>
      </c>
      <c r="Y152" s="4" t="str">
        <f>"95005442"</f>
        <v>95005442</v>
      </c>
      <c r="Z152" s="4" t="str">
        <f>""</f>
        <v/>
      </c>
      <c r="AA152" s="4" t="str">
        <f>""</f>
        <v/>
      </c>
      <c r="AB152" s="5">
        <v>43465</v>
      </c>
      <c r="AC152" s="4">
        <v>0</v>
      </c>
    </row>
    <row r="153" spans="1:29" ht="14.45" customHeight="1" x14ac:dyDescent="0.25">
      <c r="A153" s="4" t="s">
        <v>25</v>
      </c>
      <c r="B153" s="4" t="s">
        <v>139</v>
      </c>
      <c r="C153" s="4" t="s">
        <v>140</v>
      </c>
      <c r="D153" s="4" t="s">
        <v>28</v>
      </c>
      <c r="E153" s="4" t="s">
        <v>249</v>
      </c>
      <c r="F153" s="4" t="s">
        <v>250</v>
      </c>
      <c r="G153" s="4" t="s">
        <v>250</v>
      </c>
      <c r="H153" s="4" t="s">
        <v>251</v>
      </c>
      <c r="I153" s="4" t="s">
        <v>119</v>
      </c>
      <c r="J153" s="4" t="str">
        <f>"7021SB0040904"</f>
        <v>7021SB0040904</v>
      </c>
      <c r="K153" s="4" t="s">
        <v>121</v>
      </c>
      <c r="L153" s="4" t="str">
        <f>""</f>
        <v/>
      </c>
      <c r="M153" s="4" t="str">
        <f>""</f>
        <v/>
      </c>
      <c r="N153" s="4" t="s">
        <v>34</v>
      </c>
      <c r="O153" s="3"/>
      <c r="P153" s="3"/>
      <c r="Q153" s="3"/>
      <c r="R153" s="4" t="s">
        <v>35</v>
      </c>
      <c r="S153" s="3"/>
      <c r="T153" s="4" t="str">
        <f>"7010145879120"</f>
        <v>7010145879120</v>
      </c>
      <c r="U153" s="4" t="str">
        <f>"NCIA10400162"</f>
        <v>NCIA10400162</v>
      </c>
      <c r="V153" s="4" t="str">
        <f>"180017-0083991-00006"</f>
        <v>180017-0083991-00006</v>
      </c>
      <c r="W153" s="4" t="s">
        <v>36</v>
      </c>
      <c r="X153" s="4" t="str">
        <f>"F5511"</f>
        <v>F5511</v>
      </c>
      <c r="Y153" s="4" t="str">
        <f>"95005449"</f>
        <v>95005449</v>
      </c>
      <c r="Z153" s="4" t="str">
        <f>""</f>
        <v/>
      </c>
      <c r="AA153" s="4" t="str">
        <f>""</f>
        <v/>
      </c>
      <c r="AB153" s="5">
        <v>43465</v>
      </c>
      <c r="AC153" s="4">
        <v>0</v>
      </c>
    </row>
    <row r="154" spans="1:29" ht="14.45" customHeight="1" x14ac:dyDescent="0.25">
      <c r="A154" s="4" t="s">
        <v>25</v>
      </c>
      <c r="B154" s="4" t="s">
        <v>139</v>
      </c>
      <c r="C154" s="4" t="s">
        <v>140</v>
      </c>
      <c r="D154" s="4" t="s">
        <v>28</v>
      </c>
      <c r="E154" s="4" t="s">
        <v>249</v>
      </c>
      <c r="F154" s="4" t="s">
        <v>250</v>
      </c>
      <c r="G154" s="4" t="s">
        <v>250</v>
      </c>
      <c r="H154" s="4" t="s">
        <v>251</v>
      </c>
      <c r="I154" s="4" t="s">
        <v>119</v>
      </c>
      <c r="J154" s="4" t="str">
        <f>"7021SB0042635"</f>
        <v>7021SB0042635</v>
      </c>
      <c r="K154" s="4" t="s">
        <v>124</v>
      </c>
      <c r="L154" s="4" t="str">
        <f>""</f>
        <v/>
      </c>
      <c r="M154" s="4" t="str">
        <f>""</f>
        <v/>
      </c>
      <c r="N154" s="4" t="s">
        <v>34</v>
      </c>
      <c r="O154" s="3"/>
      <c r="P154" s="3"/>
      <c r="Q154" s="3"/>
      <c r="R154" s="4" t="s">
        <v>35</v>
      </c>
      <c r="S154" s="3"/>
      <c r="T154" s="4" t="str">
        <f>"7021145879493"</f>
        <v>7021145879493</v>
      </c>
      <c r="U154" s="4" t="str">
        <f>"NCIA10400168"</f>
        <v>NCIA10400168</v>
      </c>
      <c r="V154" s="4" t="str">
        <f>"181108-0083990-00007"</f>
        <v>181108-0083990-00007</v>
      </c>
      <c r="W154" s="4" t="s">
        <v>36</v>
      </c>
      <c r="X154" s="4" t="str">
        <f>"F5511"</f>
        <v>F5511</v>
      </c>
      <c r="Y154" s="4" t="str">
        <f>"95005443"</f>
        <v>95005443</v>
      </c>
      <c r="Z154" s="4" t="str">
        <f>""</f>
        <v/>
      </c>
      <c r="AA154" s="4" t="str">
        <f>""</f>
        <v/>
      </c>
      <c r="AB154" s="5">
        <v>43465</v>
      </c>
      <c r="AC154" s="4">
        <v>0</v>
      </c>
    </row>
    <row r="155" spans="1:29" ht="14.45" customHeight="1" x14ac:dyDescent="0.25">
      <c r="A155" s="4" t="s">
        <v>25</v>
      </c>
      <c r="B155" s="4" t="s">
        <v>139</v>
      </c>
      <c r="C155" s="4" t="s">
        <v>140</v>
      </c>
      <c r="D155" s="4" t="s">
        <v>28</v>
      </c>
      <c r="E155" s="4" t="s">
        <v>249</v>
      </c>
      <c r="F155" s="4" t="s">
        <v>250</v>
      </c>
      <c r="G155" s="4" t="s">
        <v>250</v>
      </c>
      <c r="H155" s="4" t="s">
        <v>251</v>
      </c>
      <c r="I155" s="4" t="s">
        <v>37</v>
      </c>
      <c r="J155" s="4" t="str">
        <f>"7025SB0040905"</f>
        <v>7025SB0040905</v>
      </c>
      <c r="K155" s="4" t="s">
        <v>125</v>
      </c>
      <c r="L155" s="4" t="str">
        <f>""</f>
        <v/>
      </c>
      <c r="M155" s="4" t="str">
        <f>""</f>
        <v/>
      </c>
      <c r="N155" s="4" t="s">
        <v>34</v>
      </c>
      <c r="O155" s="3"/>
      <c r="P155" s="3"/>
      <c r="Q155" s="3"/>
      <c r="R155" s="4" t="s">
        <v>35</v>
      </c>
      <c r="S155" s="3"/>
      <c r="T155" s="4" t="str">
        <f>"7025145885850"</f>
        <v>7025145885850</v>
      </c>
      <c r="U155" s="4" t="str">
        <f>"NCIA10401573"</f>
        <v>NCIA10401573</v>
      </c>
      <c r="V155" s="4" t="str">
        <f>"HKSE10/170418A-00060"</f>
        <v>HKSE10/170418A-00060</v>
      </c>
      <c r="W155" s="4" t="s">
        <v>36</v>
      </c>
      <c r="X155" s="4" t="str">
        <f>"F5511"</f>
        <v>F5511</v>
      </c>
      <c r="Y155" s="4" t="str">
        <f>"70501088"</f>
        <v>70501088</v>
      </c>
      <c r="Z155" s="4" t="str">
        <f>""</f>
        <v/>
      </c>
      <c r="AA155" s="4" t="str">
        <f>""</f>
        <v/>
      </c>
      <c r="AB155" s="5">
        <v>43465</v>
      </c>
      <c r="AC155" s="4">
        <v>0</v>
      </c>
    </row>
    <row r="156" spans="1:29" ht="14.45" customHeight="1" x14ac:dyDescent="0.25">
      <c r="A156" s="4" t="s">
        <v>25</v>
      </c>
      <c r="B156" s="4" t="s">
        <v>139</v>
      </c>
      <c r="C156" s="4" t="s">
        <v>140</v>
      </c>
      <c r="D156" s="4" t="s">
        <v>28</v>
      </c>
      <c r="E156" s="4" t="s">
        <v>249</v>
      </c>
      <c r="F156" s="4" t="s">
        <v>250</v>
      </c>
      <c r="G156" s="4" t="s">
        <v>250</v>
      </c>
      <c r="H156" s="4" t="s">
        <v>251</v>
      </c>
      <c r="I156" s="4" t="s">
        <v>126</v>
      </c>
      <c r="J156" s="4" t="str">
        <f>"7035SB0000543"</f>
        <v>7035SB0000543</v>
      </c>
      <c r="K156" s="4" t="s">
        <v>127</v>
      </c>
      <c r="L156" s="4" t="str">
        <f>""</f>
        <v/>
      </c>
      <c r="M156" s="4" t="str">
        <f>""</f>
        <v/>
      </c>
      <c r="N156" s="4" t="s">
        <v>34</v>
      </c>
      <c r="O156" s="3"/>
      <c r="P156" s="3"/>
      <c r="Q156" s="3"/>
      <c r="R156" s="4" t="s">
        <v>35</v>
      </c>
      <c r="S156" s="3"/>
      <c r="T156" s="4" t="str">
        <f>"5930015688478"</f>
        <v>5930015688478</v>
      </c>
      <c r="U156" s="4" t="str">
        <f>"NCIA10245499"</f>
        <v>NCIA10245499</v>
      </c>
      <c r="V156" s="4" t="str">
        <f>"3BN15C7L8046C"</f>
        <v>3BN15C7L8046C</v>
      </c>
      <c r="W156" s="4" t="s">
        <v>36</v>
      </c>
      <c r="X156" s="4" t="str">
        <f>"1S0S8"</f>
        <v>1S0S8</v>
      </c>
      <c r="Y156" s="4" t="str">
        <f>"FS108P"</f>
        <v>FS108P</v>
      </c>
      <c r="Z156" s="4" t="str">
        <f>""</f>
        <v/>
      </c>
      <c r="AA156" s="4" t="str">
        <f>""</f>
        <v/>
      </c>
      <c r="AB156" s="5">
        <v>43465</v>
      </c>
      <c r="AC156" s="4">
        <v>0</v>
      </c>
    </row>
    <row r="157" spans="1:29" ht="14.45" customHeight="1" x14ac:dyDescent="0.25">
      <c r="A157" s="4" t="s">
        <v>25</v>
      </c>
      <c r="B157" s="4" t="s">
        <v>139</v>
      </c>
      <c r="C157" s="4" t="s">
        <v>140</v>
      </c>
      <c r="D157" s="4" t="s">
        <v>28</v>
      </c>
      <c r="E157" s="4" t="s">
        <v>249</v>
      </c>
      <c r="F157" s="4" t="s">
        <v>250</v>
      </c>
      <c r="G157" s="4" t="s">
        <v>250</v>
      </c>
      <c r="H157" s="4" t="s">
        <v>251</v>
      </c>
      <c r="I157" s="4" t="s">
        <v>126</v>
      </c>
      <c r="J157" s="4" t="str">
        <f>"7035SB0000543"</f>
        <v>7035SB0000543</v>
      </c>
      <c r="K157" s="4" t="s">
        <v>127</v>
      </c>
      <c r="L157" s="4" t="str">
        <f>""</f>
        <v/>
      </c>
      <c r="M157" s="4" t="str">
        <f>""</f>
        <v/>
      </c>
      <c r="N157" s="4" t="s">
        <v>34</v>
      </c>
      <c r="O157" s="3"/>
      <c r="P157" s="3"/>
      <c r="Q157" s="3"/>
      <c r="R157" s="4" t="s">
        <v>35</v>
      </c>
      <c r="S157" s="3"/>
      <c r="T157" s="4" t="str">
        <f>"5930015688478"</f>
        <v>5930015688478</v>
      </c>
      <c r="U157" s="4" t="str">
        <f>"NCIA10400164"</f>
        <v>NCIA10400164</v>
      </c>
      <c r="V157" s="4" t="str">
        <f>"3BN16C7V810AC"</f>
        <v>3BN16C7V810AC</v>
      </c>
      <c r="W157" s="4" t="s">
        <v>36</v>
      </c>
      <c r="X157" s="4" t="str">
        <f>"1S0S8"</f>
        <v>1S0S8</v>
      </c>
      <c r="Y157" s="4" t="str">
        <f>"FS108P"</f>
        <v>FS108P</v>
      </c>
      <c r="Z157" s="4" t="str">
        <f>""</f>
        <v/>
      </c>
      <c r="AA157" s="4" t="str">
        <f>""</f>
        <v/>
      </c>
      <c r="AB157" s="5">
        <v>43465</v>
      </c>
      <c r="AC157" s="4">
        <v>0</v>
      </c>
    </row>
    <row r="158" spans="1:29" ht="14.45" customHeight="1" x14ac:dyDescent="0.25">
      <c r="A158" s="4" t="s">
        <v>25</v>
      </c>
      <c r="B158" s="4" t="s">
        <v>139</v>
      </c>
      <c r="C158" s="4" t="s">
        <v>140</v>
      </c>
      <c r="D158" s="4" t="s">
        <v>28</v>
      </c>
      <c r="E158" s="4" t="s">
        <v>249</v>
      </c>
      <c r="F158" s="4" t="s">
        <v>250</v>
      </c>
      <c r="G158" s="4" t="s">
        <v>250</v>
      </c>
      <c r="H158" s="4" t="s">
        <v>251</v>
      </c>
      <c r="I158" s="4" t="s">
        <v>51</v>
      </c>
      <c r="J158" s="4" t="str">
        <f>"7035SB0001752"</f>
        <v>7035SB0001752</v>
      </c>
      <c r="K158" s="4" t="s">
        <v>130</v>
      </c>
      <c r="L158" s="4" t="str">
        <f>""</f>
        <v/>
      </c>
      <c r="M158" s="4" t="str">
        <f>""</f>
        <v/>
      </c>
      <c r="N158" s="4" t="s">
        <v>34</v>
      </c>
      <c r="O158" s="3"/>
      <c r="P158" s="3"/>
      <c r="Q158" s="3"/>
      <c r="R158" s="4" t="s">
        <v>35</v>
      </c>
      <c r="S158" s="3"/>
      <c r="T158" s="4" t="str">
        <f>"CISCO7301"</f>
        <v>CISCO7301</v>
      </c>
      <c r="U158" s="4" t="str">
        <f>"01-114072"</f>
        <v>01-114072</v>
      </c>
      <c r="V158" s="4" t="str">
        <f>"74858957"</f>
        <v>74858957</v>
      </c>
      <c r="W158" s="4" t="s">
        <v>36</v>
      </c>
      <c r="X158" s="4" t="str">
        <f>"0GX96"</f>
        <v>0GX96</v>
      </c>
      <c r="Y158" s="4" t="str">
        <f>"CISCO7301"</f>
        <v>CISCO7301</v>
      </c>
      <c r="Z158" s="4" t="str">
        <f>""</f>
        <v/>
      </c>
      <c r="AA158" s="4" t="str">
        <f>""</f>
        <v/>
      </c>
      <c r="AB158" s="5">
        <v>43465</v>
      </c>
      <c r="AC158" s="4">
        <v>0</v>
      </c>
    </row>
    <row r="159" spans="1:29" ht="14.45" customHeight="1" x14ac:dyDescent="0.25">
      <c r="A159" s="4" t="s">
        <v>25</v>
      </c>
      <c r="B159" s="4" t="s">
        <v>139</v>
      </c>
      <c r="C159" s="4" t="s">
        <v>140</v>
      </c>
      <c r="D159" s="4" t="s">
        <v>28</v>
      </c>
      <c r="E159" s="4" t="s">
        <v>249</v>
      </c>
      <c r="F159" s="4" t="s">
        <v>250</v>
      </c>
      <c r="G159" s="4" t="s">
        <v>250</v>
      </c>
      <c r="H159" s="4" t="s">
        <v>251</v>
      </c>
      <c r="I159" s="4" t="s">
        <v>51</v>
      </c>
      <c r="J159" s="4" t="str">
        <f>"7035SB0001752"</f>
        <v>7035SB0001752</v>
      </c>
      <c r="K159" s="4" t="s">
        <v>130</v>
      </c>
      <c r="L159" s="4" t="str">
        <f>""</f>
        <v/>
      </c>
      <c r="M159" s="4" t="str">
        <f>""</f>
        <v/>
      </c>
      <c r="N159" s="4" t="s">
        <v>34</v>
      </c>
      <c r="O159" s="3"/>
      <c r="P159" s="3"/>
      <c r="Q159" s="3"/>
      <c r="R159" s="4" t="s">
        <v>35</v>
      </c>
      <c r="S159" s="3"/>
      <c r="T159" s="4" t="str">
        <f>"CISCO7301"</f>
        <v>CISCO7301</v>
      </c>
      <c r="U159" s="4" t="str">
        <f>"01-114073"</f>
        <v>01-114073</v>
      </c>
      <c r="V159" s="4" t="str">
        <f>"74858943"</f>
        <v>74858943</v>
      </c>
      <c r="W159" s="4" t="s">
        <v>36</v>
      </c>
      <c r="X159" s="4" t="str">
        <f>"0GX96"</f>
        <v>0GX96</v>
      </c>
      <c r="Y159" s="4" t="str">
        <f>"CISCO7301"</f>
        <v>CISCO7301</v>
      </c>
      <c r="Z159" s="4" t="str">
        <f>""</f>
        <v/>
      </c>
      <c r="AA159" s="4" t="str">
        <f>""</f>
        <v/>
      </c>
      <c r="AB159" s="5">
        <v>43465</v>
      </c>
      <c r="AC159" s="4">
        <v>0</v>
      </c>
    </row>
    <row r="160" spans="1:29" ht="14.45" customHeight="1" x14ac:dyDescent="0.25">
      <c r="A160" s="4" t="s">
        <v>25</v>
      </c>
      <c r="B160" s="4" t="s">
        <v>139</v>
      </c>
      <c r="C160" s="4" t="s">
        <v>140</v>
      </c>
      <c r="D160" s="4" t="s">
        <v>28</v>
      </c>
      <c r="E160" s="4" t="s">
        <v>249</v>
      </c>
      <c r="F160" s="4" t="s">
        <v>250</v>
      </c>
      <c r="G160" s="4" t="s">
        <v>250</v>
      </c>
      <c r="H160" s="4" t="s">
        <v>251</v>
      </c>
      <c r="I160" s="4" t="s">
        <v>245</v>
      </c>
      <c r="J160" s="4" t="str">
        <f>"7035SB0018239"</f>
        <v>7035SB0018239</v>
      </c>
      <c r="K160" s="4" t="s">
        <v>246</v>
      </c>
      <c r="L160" s="4" t="str">
        <f>""</f>
        <v/>
      </c>
      <c r="M160" s="4" t="str">
        <f>""</f>
        <v/>
      </c>
      <c r="N160" s="4" t="s">
        <v>34</v>
      </c>
      <c r="O160" s="3"/>
      <c r="P160" s="3"/>
      <c r="Q160" s="3"/>
      <c r="R160" s="4" t="s">
        <v>35</v>
      </c>
      <c r="S160" s="3"/>
      <c r="T160" s="4" t="str">
        <f>"7025015853891"</f>
        <v>7025015853891</v>
      </c>
      <c r="U160" s="4" t="str">
        <f>"01-113850"</f>
        <v>01-113850</v>
      </c>
      <c r="V160" s="4" t="str">
        <f>"HMFDFH1"</f>
        <v>HMFDFH1</v>
      </c>
      <c r="W160" s="4" t="s">
        <v>36</v>
      </c>
      <c r="X160" s="4" t="str">
        <f>"B1752"</f>
        <v>B1752</v>
      </c>
      <c r="Y160" s="4" t="str">
        <f>"S10.SW3524.001"</f>
        <v>S10.SW3524.001</v>
      </c>
      <c r="Z160" s="4" t="str">
        <f>""</f>
        <v/>
      </c>
      <c r="AA160" s="4" t="str">
        <f>""</f>
        <v/>
      </c>
      <c r="AB160" s="5">
        <v>43465</v>
      </c>
      <c r="AC160" s="4">
        <v>0</v>
      </c>
    </row>
    <row r="161" spans="1:29" ht="14.45" customHeight="1" x14ac:dyDescent="0.25">
      <c r="A161" s="4" t="s">
        <v>25</v>
      </c>
      <c r="B161" s="4" t="s">
        <v>139</v>
      </c>
      <c r="C161" s="4" t="s">
        <v>140</v>
      </c>
      <c r="D161" s="4" t="s">
        <v>28</v>
      </c>
      <c r="E161" s="4" t="s">
        <v>249</v>
      </c>
      <c r="F161" s="4" t="s">
        <v>250</v>
      </c>
      <c r="G161" s="4" t="s">
        <v>250</v>
      </c>
      <c r="H161" s="4" t="s">
        <v>251</v>
      </c>
      <c r="I161" s="4" t="s">
        <v>131</v>
      </c>
      <c r="J161" s="4" t="str">
        <f>"7035SB0021026"</f>
        <v>7035SB0021026</v>
      </c>
      <c r="K161" s="4" t="s">
        <v>132</v>
      </c>
      <c r="L161" s="4" t="str">
        <f>""</f>
        <v/>
      </c>
      <c r="M161" s="4" t="str">
        <f>""</f>
        <v/>
      </c>
      <c r="N161" s="4" t="s">
        <v>34</v>
      </c>
      <c r="O161" s="3"/>
      <c r="P161" s="3"/>
      <c r="Q161" s="3"/>
      <c r="R161" s="4" t="s">
        <v>35</v>
      </c>
      <c r="S161" s="3"/>
      <c r="T161" s="4" t="str">
        <f>"7035-UE-02376"</f>
        <v>7035-UE-02376</v>
      </c>
      <c r="U161" s="4" t="str">
        <f>"NCIA10400167"</f>
        <v>NCIA10400167</v>
      </c>
      <c r="V161" s="4" t="str">
        <f>"180820-0083987-00036"</f>
        <v>180820-0083987-00036</v>
      </c>
      <c r="W161" s="4" t="s">
        <v>36</v>
      </c>
      <c r="X161" s="4" t="str">
        <f>"0GX96"</f>
        <v>0GX96</v>
      </c>
      <c r="Y161" s="4" t="str">
        <f>"CISCO2901/K9"</f>
        <v>CISCO2901/K9</v>
      </c>
      <c r="Z161" s="4" t="str">
        <f>""</f>
        <v/>
      </c>
      <c r="AA161" s="4" t="str">
        <f>""</f>
        <v/>
      </c>
      <c r="AB161" s="5">
        <v>43465</v>
      </c>
      <c r="AC161" s="4">
        <v>0</v>
      </c>
    </row>
    <row r="162" spans="1:29" ht="14.45" customHeight="1" x14ac:dyDescent="0.25">
      <c r="A162" s="4" t="s">
        <v>25</v>
      </c>
      <c r="B162" s="4" t="s">
        <v>139</v>
      </c>
      <c r="C162" s="4" t="s">
        <v>140</v>
      </c>
      <c r="D162" s="4" t="s">
        <v>28</v>
      </c>
      <c r="E162" s="4" t="s">
        <v>249</v>
      </c>
      <c r="F162" s="4" t="s">
        <v>250</v>
      </c>
      <c r="G162" s="4" t="s">
        <v>250</v>
      </c>
      <c r="H162" s="4" t="s">
        <v>251</v>
      </c>
      <c r="I162" s="4" t="s">
        <v>133</v>
      </c>
      <c r="J162" s="4" t="str">
        <f>"7035SB0040902"</f>
        <v>7035SB0040902</v>
      </c>
      <c r="K162" s="4" t="s">
        <v>134</v>
      </c>
      <c r="L162" s="4" t="str">
        <f>""</f>
        <v/>
      </c>
      <c r="M162" s="4" t="str">
        <f>""</f>
        <v/>
      </c>
      <c r="N162" s="4" t="s">
        <v>34</v>
      </c>
      <c r="O162" s="3"/>
      <c r="P162" s="3"/>
      <c r="Q162" s="3"/>
      <c r="R162" s="4" t="s">
        <v>35</v>
      </c>
      <c r="S162" s="3"/>
      <c r="T162" s="4" t="str">
        <f>"5895145879119"</f>
        <v>5895145879119</v>
      </c>
      <c r="U162" s="4" t="str">
        <f>"NCIA10400160"</f>
        <v>NCIA10400160</v>
      </c>
      <c r="V162" s="4" t="str">
        <f>"180727-0083988-00007"</f>
        <v>180727-0083988-00007</v>
      </c>
      <c r="W162" s="4" t="s">
        <v>36</v>
      </c>
      <c r="X162" s="4" t="str">
        <f>"F5511"</f>
        <v>F5511</v>
      </c>
      <c r="Y162" s="4" t="str">
        <f>"95005441"</f>
        <v>95005441</v>
      </c>
      <c r="Z162" s="4" t="str">
        <f>""</f>
        <v/>
      </c>
      <c r="AA162" s="4" t="str">
        <f>""</f>
        <v/>
      </c>
      <c r="AB162" s="5">
        <v>43465</v>
      </c>
      <c r="AC162" s="4">
        <v>0</v>
      </c>
    </row>
    <row r="163" spans="1:29" ht="14.45" customHeight="1" x14ac:dyDescent="0.25">
      <c r="A163" s="4" t="s">
        <v>25</v>
      </c>
      <c r="B163" s="4" t="s">
        <v>139</v>
      </c>
      <c r="C163" s="4" t="s">
        <v>140</v>
      </c>
      <c r="D163" s="4" t="s">
        <v>28</v>
      </c>
      <c r="E163" s="4" t="s">
        <v>249</v>
      </c>
      <c r="F163" s="4" t="s">
        <v>250</v>
      </c>
      <c r="G163" s="4" t="s">
        <v>250</v>
      </c>
      <c r="H163" s="4" t="s">
        <v>251</v>
      </c>
      <c r="I163" s="4" t="s">
        <v>32</v>
      </c>
      <c r="J163" s="4" t="str">
        <f>"7230SB0004515"</f>
        <v>7230SB0004515</v>
      </c>
      <c r="K163" s="4" t="s">
        <v>315</v>
      </c>
      <c r="L163" s="4" t="str">
        <f>""</f>
        <v/>
      </c>
      <c r="M163" s="4" t="str">
        <f>""</f>
        <v/>
      </c>
      <c r="N163" s="4" t="s">
        <v>34</v>
      </c>
      <c r="O163" s="3"/>
      <c r="P163" s="3"/>
      <c r="Q163" s="3"/>
      <c r="R163" s="4" t="s">
        <v>35</v>
      </c>
      <c r="S163" s="3"/>
      <c r="T163" s="4" t="str">
        <f>"10537-02701"</f>
        <v>10537-02701</v>
      </c>
      <c r="U163" s="4" t="str">
        <f>"NCIAX11191299"</f>
        <v>NCIAX11191299</v>
      </c>
      <c r="V163" s="4" t="str">
        <f>""</f>
        <v/>
      </c>
      <c r="W163" s="4" t="s">
        <v>36</v>
      </c>
      <c r="X163" s="4" t="str">
        <f>"02MQ7"</f>
        <v>02MQ7</v>
      </c>
      <c r="Y163" s="4" t="str">
        <f>"10537-02701"</f>
        <v>10537-02701</v>
      </c>
      <c r="Z163" s="4" t="str">
        <f>""</f>
        <v/>
      </c>
      <c r="AA163" s="4" t="str">
        <f>""</f>
        <v/>
      </c>
      <c r="AB163" s="5">
        <v>43465</v>
      </c>
      <c r="AC163" s="6">
        <v>1.86353419244444E+16</v>
      </c>
    </row>
    <row r="164" spans="1:29" ht="14.45" customHeight="1" x14ac:dyDescent="0.25">
      <c r="A164" s="4" t="s">
        <v>25</v>
      </c>
      <c r="B164" s="4" t="s">
        <v>139</v>
      </c>
      <c r="C164" s="4" t="s">
        <v>140</v>
      </c>
      <c r="D164" s="4" t="s">
        <v>28</v>
      </c>
      <c r="E164" s="4" t="s">
        <v>249</v>
      </c>
      <c r="F164" s="4" t="s">
        <v>250</v>
      </c>
      <c r="G164" s="4" t="s">
        <v>250</v>
      </c>
      <c r="H164" s="4" t="s">
        <v>251</v>
      </c>
      <c r="I164" s="4" t="s">
        <v>32</v>
      </c>
      <c r="J164" s="4" t="str">
        <f>"7230SB0017340"</f>
        <v>7230SB0017340</v>
      </c>
      <c r="K164" s="4" t="s">
        <v>316</v>
      </c>
      <c r="L164" s="4" t="str">
        <f>""</f>
        <v/>
      </c>
      <c r="M164" s="4" t="str">
        <f>""</f>
        <v/>
      </c>
      <c r="N164" s="4" t="s">
        <v>34</v>
      </c>
      <c r="O164" s="3"/>
      <c r="P164" s="3"/>
      <c r="Q164" s="3"/>
      <c r="R164" s="4" t="s">
        <v>35</v>
      </c>
      <c r="S164" s="3"/>
      <c r="T164" s="4" t="str">
        <f>"10537-02704"</f>
        <v>10537-02704</v>
      </c>
      <c r="U164" s="4" t="str">
        <f>"NCIAX11191300"</f>
        <v>NCIAX11191300</v>
      </c>
      <c r="V164" s="4" t="str">
        <f>""</f>
        <v/>
      </c>
      <c r="W164" s="4" t="s">
        <v>36</v>
      </c>
      <c r="X164" s="4" t="str">
        <f>"02MQ7"</f>
        <v>02MQ7</v>
      </c>
      <c r="Y164" s="4" t="str">
        <f>"10537-02704"</f>
        <v>10537-02704</v>
      </c>
      <c r="Z164" s="4" t="str">
        <f>""</f>
        <v/>
      </c>
      <c r="AA164" s="4" t="str">
        <f>""</f>
        <v/>
      </c>
      <c r="AB164" s="5">
        <v>43465</v>
      </c>
      <c r="AC164" s="6">
        <v>1086762366075</v>
      </c>
    </row>
    <row r="165" spans="1:29" ht="14.45" customHeight="1" x14ac:dyDescent="0.25">
      <c r="A165" s="4" t="s">
        <v>25</v>
      </c>
      <c r="B165" s="4" t="s">
        <v>139</v>
      </c>
      <c r="C165" s="4" t="s">
        <v>140</v>
      </c>
      <c r="D165" s="4" t="s">
        <v>28</v>
      </c>
      <c r="E165" s="4" t="s">
        <v>249</v>
      </c>
      <c r="F165" s="4" t="s">
        <v>250</v>
      </c>
      <c r="G165" s="4" t="s">
        <v>250</v>
      </c>
      <c r="H165" s="4" t="s">
        <v>251</v>
      </c>
      <c r="I165" s="4" t="s">
        <v>158</v>
      </c>
      <c r="J165" s="4" t="str">
        <f>"8145SB0041727"</f>
        <v>8145SB0041727</v>
      </c>
      <c r="K165" s="4" t="s">
        <v>317</v>
      </c>
      <c r="L165" s="4" t="str">
        <f>""</f>
        <v/>
      </c>
      <c r="M165" s="4" t="str">
        <f>""</f>
        <v/>
      </c>
      <c r="N165" s="4" t="s">
        <v>34</v>
      </c>
      <c r="O165" s="3"/>
      <c r="P165" s="3"/>
      <c r="Q165" s="3"/>
      <c r="R165" s="4" t="s">
        <v>35</v>
      </c>
      <c r="S165" s="3"/>
      <c r="T165" s="4" t="str">
        <f>""</f>
        <v/>
      </c>
      <c r="U165" s="4" t="str">
        <f>"NCIA10312078"</f>
        <v>NCIA10312078</v>
      </c>
      <c r="V165" s="4" t="str">
        <f>""</f>
        <v/>
      </c>
      <c r="W165" s="4" t="s">
        <v>36</v>
      </c>
      <c r="X165" s="4" t="str">
        <f>"D2012"</f>
        <v>D2012</v>
      </c>
      <c r="Y165" s="4" t="str">
        <f>"40846"</f>
        <v>40846</v>
      </c>
      <c r="Z165" s="4" t="str">
        <f>""</f>
        <v/>
      </c>
      <c r="AA165" s="4" t="str">
        <f>""</f>
        <v/>
      </c>
      <c r="AB165" s="5">
        <v>43465</v>
      </c>
      <c r="AC165" s="4">
        <v>282</v>
      </c>
    </row>
    <row r="166" spans="1:29" ht="14.45" customHeight="1" x14ac:dyDescent="0.25">
      <c r="A166" s="4" t="s">
        <v>25</v>
      </c>
      <c r="B166" s="4" t="s">
        <v>139</v>
      </c>
      <c r="C166" s="4" t="s">
        <v>140</v>
      </c>
      <c r="D166" s="4" t="s">
        <v>28</v>
      </c>
      <c r="E166" s="4" t="s">
        <v>249</v>
      </c>
      <c r="F166" s="4" t="s">
        <v>250</v>
      </c>
      <c r="G166" s="4" t="s">
        <v>250</v>
      </c>
      <c r="H166" s="4" t="s">
        <v>251</v>
      </c>
      <c r="I166" s="4" t="s">
        <v>158</v>
      </c>
      <c r="J166" s="4" t="str">
        <f>"8145SB0041727"</f>
        <v>8145SB0041727</v>
      </c>
      <c r="K166" s="4" t="s">
        <v>317</v>
      </c>
      <c r="L166" s="4" t="str">
        <f>""</f>
        <v/>
      </c>
      <c r="M166" s="4" t="str">
        <f>""</f>
        <v/>
      </c>
      <c r="N166" s="4" t="s">
        <v>34</v>
      </c>
      <c r="O166" s="3"/>
      <c r="P166" s="3"/>
      <c r="Q166" s="3"/>
      <c r="R166" s="4" t="s">
        <v>35</v>
      </c>
      <c r="S166" s="3"/>
      <c r="T166" s="4" t="str">
        <f>""</f>
        <v/>
      </c>
      <c r="U166" s="4" t="str">
        <f>"NCIA10312079"</f>
        <v>NCIA10312079</v>
      </c>
      <c r="V166" s="4" t="str">
        <f>""</f>
        <v/>
      </c>
      <c r="W166" s="4" t="s">
        <v>36</v>
      </c>
      <c r="X166" s="4" t="str">
        <f>"D2012"</f>
        <v>D2012</v>
      </c>
      <c r="Y166" s="4" t="str">
        <f>"40846"</f>
        <v>40846</v>
      </c>
      <c r="Z166" s="4" t="str">
        <f>""</f>
        <v/>
      </c>
      <c r="AA166" s="4" t="str">
        <f>""</f>
        <v/>
      </c>
      <c r="AB166" s="5">
        <v>43465</v>
      </c>
      <c r="AC166" s="4">
        <v>282</v>
      </c>
    </row>
    <row r="167" spans="1:29" ht="12" customHeight="1" x14ac:dyDescent="0.25">
      <c r="A167" s="262"/>
      <c r="B167" s="264" t="s">
        <v>135</v>
      </c>
      <c r="C167" s="7" t="s">
        <v>136</v>
      </c>
      <c r="D167" s="8">
        <v>44287</v>
      </c>
    </row>
    <row r="168" spans="1:29" ht="12" customHeight="1" x14ac:dyDescent="0.25">
      <c r="A168" s="263"/>
      <c r="B168" s="265"/>
      <c r="C168" s="7" t="s">
        <v>137</v>
      </c>
      <c r="D168" s="9" t="s">
        <v>138</v>
      </c>
    </row>
  </sheetData>
  <mergeCells count="2">
    <mergeCell ref="A167:A168"/>
    <mergeCell ref="B167:B16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58"/>
  <sheetViews>
    <sheetView workbookViewId="0">
      <selection activeCell="E17" sqref="E17"/>
    </sheetView>
  </sheetViews>
  <sheetFormatPr defaultRowHeight="15" x14ac:dyDescent="0.25"/>
  <cols>
    <col min="1" max="1" width="23.28515625" bestFit="1" customWidth="1"/>
    <col min="2" max="2" width="36.5703125" bestFit="1" customWidth="1"/>
    <col min="3" max="3" width="17.85546875" bestFit="1" customWidth="1"/>
    <col min="4" max="4" width="9.7109375" bestFit="1" customWidth="1"/>
    <col min="5" max="5" width="20.42578125" bestFit="1" customWidth="1"/>
    <col min="6" max="6" width="16" bestFit="1" customWidth="1"/>
    <col min="7" max="7" width="15.85546875" bestFit="1" customWidth="1"/>
    <col min="8" max="8" width="15" bestFit="1" customWidth="1"/>
    <col min="9" max="9" width="35.28515625" bestFit="1" customWidth="1"/>
    <col min="10" max="10" width="4.5703125" customWidth="1"/>
    <col min="11" max="11" width="36.5703125" bestFit="1" customWidth="1"/>
    <col min="12" max="12" width="7.5703125" customWidth="1"/>
    <col min="13" max="13" width="13.42578125" bestFit="1" customWidth="1"/>
    <col min="14" max="14" width="4.5703125" customWidth="1"/>
    <col min="18" max="18" width="14.85546875" bestFit="1" customWidth="1"/>
    <col min="20" max="20" width="11.140625" bestFit="1" customWidth="1"/>
    <col min="21" max="21" width="12.140625" bestFit="1" customWidth="1"/>
    <col min="22" max="22" width="18.7109375" bestFit="1" customWidth="1"/>
    <col min="23" max="23" width="17.85546875" bestFit="1" customWidth="1"/>
    <col min="24" max="24" width="12" bestFit="1" customWidth="1"/>
    <col min="25" max="25" width="12.42578125" bestFit="1" customWidth="1"/>
    <col min="26" max="26" width="14" bestFit="1" customWidth="1"/>
    <col min="27" max="27" width="18.28515625" bestFit="1" customWidth="1"/>
    <col min="28" max="28" width="13.85546875" bestFit="1" customWidth="1"/>
    <col min="29" max="29" width="18" bestFit="1" customWidth="1"/>
  </cols>
  <sheetData>
    <row r="1" spans="1:29" ht="12.2" customHeight="1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1"/>
      <c r="P1" s="1"/>
      <c r="Q1" s="1"/>
      <c r="R1" s="2" t="s">
        <v>14</v>
      </c>
      <c r="S1" s="1"/>
      <c r="T1" s="2" t="s">
        <v>15</v>
      </c>
      <c r="U1" s="2" t="s">
        <v>16</v>
      </c>
      <c r="V1" s="2" t="s">
        <v>17</v>
      </c>
      <c r="W1" s="2" t="s">
        <v>18</v>
      </c>
      <c r="X1" s="2" t="s">
        <v>19</v>
      </c>
      <c r="Y1" s="2" t="s">
        <v>20</v>
      </c>
      <c r="Z1" s="2" t="s">
        <v>21</v>
      </c>
      <c r="AA1" s="2" t="s">
        <v>22</v>
      </c>
      <c r="AB1" s="2" t="s">
        <v>23</v>
      </c>
      <c r="AC1" s="2" t="s">
        <v>24</v>
      </c>
    </row>
    <row r="2" spans="1:29" ht="14.45" customHeight="1" x14ac:dyDescent="0.25">
      <c r="A2" s="4" t="s">
        <v>25</v>
      </c>
      <c r="B2" s="4" t="s">
        <v>26</v>
      </c>
      <c r="C2" s="4" t="s">
        <v>27</v>
      </c>
      <c r="D2" s="4" t="s">
        <v>28</v>
      </c>
      <c r="E2" s="4" t="s">
        <v>26</v>
      </c>
      <c r="F2" s="4" t="s">
        <v>318</v>
      </c>
      <c r="G2" s="4" t="s">
        <v>318</v>
      </c>
      <c r="H2" s="4" t="s">
        <v>319</v>
      </c>
      <c r="I2" s="4" t="s">
        <v>37</v>
      </c>
      <c r="J2" s="4" t="str">
        <f>"7010SB0041060"</f>
        <v>7010SB0041060</v>
      </c>
      <c r="K2" s="4" t="s">
        <v>252</v>
      </c>
      <c r="L2" s="4" t="str">
        <f>""</f>
        <v/>
      </c>
      <c r="M2" s="4" t="str">
        <f>""</f>
        <v/>
      </c>
      <c r="N2" s="4" t="s">
        <v>34</v>
      </c>
      <c r="O2" s="3"/>
      <c r="P2" s="3"/>
      <c r="Q2" s="3"/>
      <c r="R2" s="4" t="s">
        <v>35</v>
      </c>
      <c r="S2" s="3"/>
      <c r="T2" s="4" t="str">
        <f>""</f>
        <v/>
      </c>
      <c r="U2" s="4" t="str">
        <f>"NCIA12000114"</f>
        <v>NCIA12000114</v>
      </c>
      <c r="V2" s="4" t="str">
        <f>""</f>
        <v/>
      </c>
      <c r="W2" s="4" t="s">
        <v>36</v>
      </c>
      <c r="X2" s="4" t="str">
        <f>"02MQ7"</f>
        <v>02MQ7</v>
      </c>
      <c r="Y2" s="4" t="str">
        <f>"CO-11790-TSGT TSGT3 COMPLETE"</f>
        <v>CO-11790-TSGT TSGT3 COMPLETE</v>
      </c>
      <c r="Z2" s="4" t="str">
        <f>""</f>
        <v/>
      </c>
      <c r="AA2" s="4" t="str">
        <f>""</f>
        <v/>
      </c>
      <c r="AB2" s="5">
        <v>43525</v>
      </c>
      <c r="AC2" s="4">
        <v>0</v>
      </c>
    </row>
    <row r="3" spans="1:29" ht="14.45" customHeight="1" x14ac:dyDescent="0.25">
      <c r="A3" s="4" t="s">
        <v>25</v>
      </c>
      <c r="B3" s="4" t="s">
        <v>26</v>
      </c>
      <c r="C3" s="4" t="s">
        <v>27</v>
      </c>
      <c r="D3" s="4" t="s">
        <v>28</v>
      </c>
      <c r="E3" s="4" t="s">
        <v>26</v>
      </c>
      <c r="F3" s="4" t="s">
        <v>318</v>
      </c>
      <c r="G3" s="4" t="s">
        <v>318</v>
      </c>
      <c r="H3" s="4" t="s">
        <v>319</v>
      </c>
      <c r="I3" s="4" t="s">
        <v>37</v>
      </c>
      <c r="J3" s="4" t="str">
        <f>"7010SB0041021"</f>
        <v>7010SB0041021</v>
      </c>
      <c r="K3" s="4" t="s">
        <v>253</v>
      </c>
      <c r="L3" s="4" t="str">
        <f>""</f>
        <v/>
      </c>
      <c r="M3" s="4" t="str">
        <f>""</f>
        <v/>
      </c>
      <c r="N3" s="4" t="s">
        <v>34</v>
      </c>
      <c r="O3" s="3"/>
      <c r="P3" s="3"/>
      <c r="Q3" s="3"/>
      <c r="R3" s="4" t="s">
        <v>35</v>
      </c>
      <c r="S3" s="3"/>
      <c r="T3" s="4" t="str">
        <f>""</f>
        <v/>
      </c>
      <c r="U3" s="4" t="str">
        <f>"NCIA12000131"</f>
        <v>NCIA12000131</v>
      </c>
      <c r="V3" s="4" t="str">
        <f>""</f>
        <v/>
      </c>
      <c r="W3" s="4" t="s">
        <v>146</v>
      </c>
      <c r="X3" s="4" t="str">
        <f>"02MQ7"</f>
        <v>02MQ7</v>
      </c>
      <c r="Y3" s="4" t="str">
        <f>"CO-11790-TSGT T1"</f>
        <v>CO-11790-TSGT T1</v>
      </c>
      <c r="Z3" s="4" t="str">
        <f>""</f>
        <v/>
      </c>
      <c r="AA3" s="4" t="str">
        <f>"NCIA12000114"</f>
        <v>NCIA12000114</v>
      </c>
      <c r="AB3" s="5">
        <v>43525</v>
      </c>
      <c r="AC3" s="4">
        <v>0</v>
      </c>
    </row>
    <row r="4" spans="1:29" ht="14.45" customHeight="1" x14ac:dyDescent="0.25">
      <c r="A4" s="4" t="s">
        <v>25</v>
      </c>
      <c r="B4" s="4" t="s">
        <v>26</v>
      </c>
      <c r="C4" s="4" t="s">
        <v>27</v>
      </c>
      <c r="D4" s="4" t="s">
        <v>28</v>
      </c>
      <c r="E4" s="4" t="s">
        <v>26</v>
      </c>
      <c r="F4" s="4" t="s">
        <v>318</v>
      </c>
      <c r="G4" s="4" t="s">
        <v>318</v>
      </c>
      <c r="H4" s="4" t="s">
        <v>319</v>
      </c>
      <c r="I4" s="4" t="s">
        <v>37</v>
      </c>
      <c r="J4" s="4" t="str">
        <f>"7010SB0041022"</f>
        <v>7010SB0041022</v>
      </c>
      <c r="K4" s="4" t="s">
        <v>254</v>
      </c>
      <c r="L4" s="4" t="str">
        <f>""</f>
        <v/>
      </c>
      <c r="M4" s="4" t="str">
        <f>""</f>
        <v/>
      </c>
      <c r="N4" s="4" t="s">
        <v>34</v>
      </c>
      <c r="O4" s="3"/>
      <c r="P4" s="3"/>
      <c r="Q4" s="3"/>
      <c r="R4" s="4" t="s">
        <v>35</v>
      </c>
      <c r="S4" s="3"/>
      <c r="T4" s="4" t="str">
        <f>""</f>
        <v/>
      </c>
      <c r="U4" s="4" t="str">
        <f>"NCIA12000118"</f>
        <v>NCIA12000118</v>
      </c>
      <c r="V4" s="4" t="str">
        <f>""</f>
        <v/>
      </c>
      <c r="W4" s="4" t="s">
        <v>146</v>
      </c>
      <c r="X4" s="4" t="str">
        <f>"02MQ7"</f>
        <v>02MQ7</v>
      </c>
      <c r="Y4" s="4" t="str">
        <f>"CO-11790-TSGT T2"</f>
        <v>CO-11790-TSGT T2</v>
      </c>
      <c r="Z4" s="4" t="str">
        <f>""</f>
        <v/>
      </c>
      <c r="AA4" s="4" t="str">
        <f>"NCIA12000114"</f>
        <v>NCIA12000114</v>
      </c>
      <c r="AB4" s="5">
        <v>43525</v>
      </c>
      <c r="AC4" s="4">
        <v>0</v>
      </c>
    </row>
    <row r="5" spans="1:29" ht="14.45" customHeight="1" x14ac:dyDescent="0.25">
      <c r="A5" s="4" t="s">
        <v>25</v>
      </c>
      <c r="B5" s="4" t="s">
        <v>26</v>
      </c>
      <c r="C5" s="4" t="s">
        <v>27</v>
      </c>
      <c r="D5" s="4" t="s">
        <v>28</v>
      </c>
      <c r="E5" s="4" t="s">
        <v>26</v>
      </c>
      <c r="F5" s="4" t="s">
        <v>318</v>
      </c>
      <c r="G5" s="4" t="s">
        <v>318</v>
      </c>
      <c r="H5" s="4" t="s">
        <v>319</v>
      </c>
      <c r="I5" s="4" t="s">
        <v>37</v>
      </c>
      <c r="J5" s="4" t="str">
        <f>"7010SB0041023"</f>
        <v>7010SB0041023</v>
      </c>
      <c r="K5" s="4" t="s">
        <v>255</v>
      </c>
      <c r="L5" s="4" t="str">
        <f>""</f>
        <v/>
      </c>
      <c r="M5" s="4" t="str">
        <f>""</f>
        <v/>
      </c>
      <c r="N5" s="4" t="s">
        <v>34</v>
      </c>
      <c r="O5" s="3"/>
      <c r="P5" s="3"/>
      <c r="Q5" s="3"/>
      <c r="R5" s="4" t="s">
        <v>35</v>
      </c>
      <c r="S5" s="3"/>
      <c r="T5" s="4" t="str">
        <f>""</f>
        <v/>
      </c>
      <c r="U5" s="4" t="str">
        <f>"NCIA12000122"</f>
        <v>NCIA12000122</v>
      </c>
      <c r="V5" s="4" t="str">
        <f>""</f>
        <v/>
      </c>
      <c r="W5" s="4" t="s">
        <v>146</v>
      </c>
      <c r="X5" s="4" t="str">
        <f>"02MQ7"</f>
        <v>02MQ7</v>
      </c>
      <c r="Y5" s="4" t="str">
        <f>"CO-11790-TSGT PMV"</f>
        <v>CO-11790-TSGT PMV</v>
      </c>
      <c r="Z5" s="4" t="str">
        <f>""</f>
        <v/>
      </c>
      <c r="AA5" s="4" t="str">
        <f>"NCIA12000114"</f>
        <v>NCIA12000114</v>
      </c>
      <c r="AB5" s="5">
        <v>43525</v>
      </c>
      <c r="AC5" s="4">
        <v>0</v>
      </c>
    </row>
    <row r="6" spans="1:29" ht="14.45" customHeight="1" x14ac:dyDescent="0.25">
      <c r="A6" s="4" t="s">
        <v>25</v>
      </c>
      <c r="B6" s="4" t="s">
        <v>26</v>
      </c>
      <c r="C6" s="4" t="s">
        <v>27</v>
      </c>
      <c r="D6" s="4" t="s">
        <v>28</v>
      </c>
      <c r="E6" s="4" t="s">
        <v>26</v>
      </c>
      <c r="F6" s="4" t="s">
        <v>318</v>
      </c>
      <c r="G6" s="4" t="s">
        <v>318</v>
      </c>
      <c r="H6" s="4" t="s">
        <v>319</v>
      </c>
      <c r="I6" s="4" t="s">
        <v>37</v>
      </c>
      <c r="J6" s="4" t="str">
        <f>"7010SB0041024"</f>
        <v>7010SB0041024</v>
      </c>
      <c r="K6" s="4" t="s">
        <v>256</v>
      </c>
      <c r="L6" s="4" t="str">
        <f>""</f>
        <v/>
      </c>
      <c r="M6" s="4" t="str">
        <f>""</f>
        <v/>
      </c>
      <c r="N6" s="4" t="s">
        <v>34</v>
      </c>
      <c r="O6" s="3"/>
      <c r="P6" s="3"/>
      <c r="Q6" s="3"/>
      <c r="R6" s="4" t="s">
        <v>35</v>
      </c>
      <c r="S6" s="3"/>
      <c r="T6" s="4" t="str">
        <f>""</f>
        <v/>
      </c>
      <c r="U6" s="4" t="str">
        <f>"NCIA12000126"</f>
        <v>NCIA12000126</v>
      </c>
      <c r="V6" s="4" t="str">
        <f>""</f>
        <v/>
      </c>
      <c r="W6" s="4" t="s">
        <v>146</v>
      </c>
      <c r="X6" s="4" t="str">
        <f>"02MQ7"</f>
        <v>02MQ7</v>
      </c>
      <c r="Y6" s="4" t="str">
        <f>"CO-11790-TSGT AMV"</f>
        <v>CO-11790-TSGT AMV</v>
      </c>
      <c r="Z6" s="4" t="str">
        <f>""</f>
        <v/>
      </c>
      <c r="AA6" s="4" t="str">
        <f>"NCIA12000114"</f>
        <v>NCIA12000114</v>
      </c>
      <c r="AB6" s="5">
        <v>43525</v>
      </c>
      <c r="AC6" s="4">
        <v>0</v>
      </c>
    </row>
    <row r="7" spans="1:29" ht="14.45" customHeight="1" x14ac:dyDescent="0.25">
      <c r="A7" s="4" t="s">
        <v>25</v>
      </c>
      <c r="B7" s="4" t="s">
        <v>26</v>
      </c>
      <c r="C7" s="4" t="s">
        <v>27</v>
      </c>
      <c r="D7" s="4" t="s">
        <v>28</v>
      </c>
      <c r="E7" s="4" t="s">
        <v>26</v>
      </c>
      <c r="F7" s="4" t="s">
        <v>318</v>
      </c>
      <c r="G7" s="4" t="s">
        <v>318</v>
      </c>
      <c r="H7" s="4" t="s">
        <v>319</v>
      </c>
      <c r="I7" s="4" t="s">
        <v>32</v>
      </c>
      <c r="J7" s="4" t="str">
        <f>"4120SB0002549"</f>
        <v>4120SB0002549</v>
      </c>
      <c r="K7" s="4" t="s">
        <v>258</v>
      </c>
      <c r="L7" s="4" t="str">
        <f>""</f>
        <v/>
      </c>
      <c r="M7" s="4" t="str">
        <f>""</f>
        <v/>
      </c>
      <c r="N7" s="4" t="s">
        <v>34</v>
      </c>
      <c r="O7" s="3"/>
      <c r="P7" s="3"/>
      <c r="Q7" s="3"/>
      <c r="R7" s="4" t="s">
        <v>35</v>
      </c>
      <c r="S7" s="3"/>
      <c r="T7" s="4" t="str">
        <f>"14470-346C-001"</f>
        <v>14470-346C-001</v>
      </c>
      <c r="U7" s="4" t="str">
        <f>"01-117020"</f>
        <v>01-117020</v>
      </c>
      <c r="V7" s="4" t="str">
        <f>"563A"</f>
        <v>563A</v>
      </c>
      <c r="W7" s="4" t="s">
        <v>36</v>
      </c>
      <c r="X7" s="4" t="str">
        <f t="shared" ref="X7:X12" si="0">"15175"</f>
        <v>15175</v>
      </c>
      <c r="Y7" s="4" t="str">
        <f>"14470-346C-001"</f>
        <v>14470-346C-001</v>
      </c>
      <c r="Z7" s="4" t="str">
        <f>""</f>
        <v/>
      </c>
      <c r="AA7" s="4" t="str">
        <f>""</f>
        <v/>
      </c>
      <c r="AB7" s="5">
        <v>43465</v>
      </c>
      <c r="AC7" s="4">
        <v>0</v>
      </c>
    </row>
    <row r="8" spans="1:29" ht="14.45" customHeight="1" x14ac:dyDescent="0.25">
      <c r="A8" s="4" t="s">
        <v>25</v>
      </c>
      <c r="B8" s="4" t="s">
        <v>26</v>
      </c>
      <c r="C8" s="4" t="s">
        <v>27</v>
      </c>
      <c r="D8" s="4" t="s">
        <v>28</v>
      </c>
      <c r="E8" s="4" t="s">
        <v>26</v>
      </c>
      <c r="F8" s="4" t="s">
        <v>318</v>
      </c>
      <c r="G8" s="4" t="s">
        <v>318</v>
      </c>
      <c r="H8" s="4" t="s">
        <v>319</v>
      </c>
      <c r="I8" s="4" t="s">
        <v>32</v>
      </c>
      <c r="J8" s="4" t="str">
        <f>"4120SB0002549"</f>
        <v>4120SB0002549</v>
      </c>
      <c r="K8" s="4" t="s">
        <v>258</v>
      </c>
      <c r="L8" s="4" t="str">
        <f>""</f>
        <v/>
      </c>
      <c r="M8" s="4" t="str">
        <f>""</f>
        <v/>
      </c>
      <c r="N8" s="4" t="s">
        <v>34</v>
      </c>
      <c r="O8" s="3"/>
      <c r="P8" s="3"/>
      <c r="Q8" s="3"/>
      <c r="R8" s="4" t="s">
        <v>35</v>
      </c>
      <c r="S8" s="3"/>
      <c r="T8" s="4" t="str">
        <f>"14470-346C-001"</f>
        <v>14470-346C-001</v>
      </c>
      <c r="U8" s="4" t="str">
        <f>"01-117021"</f>
        <v>01-117021</v>
      </c>
      <c r="V8" s="4" t="str">
        <f>"564A"</f>
        <v>564A</v>
      </c>
      <c r="W8" s="4" t="s">
        <v>36</v>
      </c>
      <c r="X8" s="4" t="str">
        <f t="shared" si="0"/>
        <v>15175</v>
      </c>
      <c r="Y8" s="4" t="str">
        <f>"14470-346C-001"</f>
        <v>14470-346C-001</v>
      </c>
      <c r="Z8" s="4" t="str">
        <f>""</f>
        <v/>
      </c>
      <c r="AA8" s="4" t="str">
        <f>""</f>
        <v/>
      </c>
      <c r="AB8" s="5">
        <v>43465</v>
      </c>
      <c r="AC8" s="4">
        <v>0</v>
      </c>
    </row>
    <row r="9" spans="1:29" ht="14.45" customHeight="1" x14ac:dyDescent="0.25">
      <c r="A9" s="4" t="s">
        <v>25</v>
      </c>
      <c r="B9" s="4" t="s">
        <v>26</v>
      </c>
      <c r="C9" s="4" t="s">
        <v>27</v>
      </c>
      <c r="D9" s="4" t="s">
        <v>28</v>
      </c>
      <c r="E9" s="4" t="s">
        <v>26</v>
      </c>
      <c r="F9" s="4" t="s">
        <v>318</v>
      </c>
      <c r="G9" s="4" t="s">
        <v>318</v>
      </c>
      <c r="H9" s="4" t="s">
        <v>319</v>
      </c>
      <c r="I9" s="4" t="s">
        <v>32</v>
      </c>
      <c r="J9" s="4" t="str">
        <f>"4120SB0002549"</f>
        <v>4120SB0002549</v>
      </c>
      <c r="K9" s="4" t="s">
        <v>258</v>
      </c>
      <c r="L9" s="4" t="str">
        <f>""</f>
        <v/>
      </c>
      <c r="M9" s="4" t="str">
        <f>""</f>
        <v/>
      </c>
      <c r="N9" s="4" t="s">
        <v>34</v>
      </c>
      <c r="O9" s="3"/>
      <c r="P9" s="3"/>
      <c r="Q9" s="3"/>
      <c r="R9" s="4" t="s">
        <v>35</v>
      </c>
      <c r="S9" s="3"/>
      <c r="T9" s="4" t="str">
        <f>"14470-346C-001"</f>
        <v>14470-346C-001</v>
      </c>
      <c r="U9" s="4" t="str">
        <f>"01-117022"</f>
        <v>01-117022</v>
      </c>
      <c r="V9" s="4" t="str">
        <f>"565"</f>
        <v>565</v>
      </c>
      <c r="W9" s="4" t="s">
        <v>36</v>
      </c>
      <c r="X9" s="4" t="str">
        <f t="shared" si="0"/>
        <v>15175</v>
      </c>
      <c r="Y9" s="4" t="str">
        <f>"14470-346C-001"</f>
        <v>14470-346C-001</v>
      </c>
      <c r="Z9" s="4" t="str">
        <f>""</f>
        <v/>
      </c>
      <c r="AA9" s="4" t="str">
        <f>""</f>
        <v/>
      </c>
      <c r="AB9" s="5">
        <v>43465</v>
      </c>
      <c r="AC9" s="4">
        <v>0</v>
      </c>
    </row>
    <row r="10" spans="1:29" ht="14.45" customHeight="1" x14ac:dyDescent="0.25">
      <c r="A10" s="4" t="s">
        <v>25</v>
      </c>
      <c r="B10" s="4" t="s">
        <v>26</v>
      </c>
      <c r="C10" s="4" t="s">
        <v>27</v>
      </c>
      <c r="D10" s="4" t="s">
        <v>28</v>
      </c>
      <c r="E10" s="4" t="s">
        <v>26</v>
      </c>
      <c r="F10" s="4" t="s">
        <v>318</v>
      </c>
      <c r="G10" s="4" t="s">
        <v>318</v>
      </c>
      <c r="H10" s="4" t="s">
        <v>319</v>
      </c>
      <c r="I10" s="4" t="s">
        <v>32</v>
      </c>
      <c r="J10" s="4" t="str">
        <f>"4130SB0002679"</f>
        <v>4130SB0002679</v>
      </c>
      <c r="K10" s="4" t="s">
        <v>259</v>
      </c>
      <c r="L10" s="4" t="str">
        <f>""</f>
        <v/>
      </c>
      <c r="M10" s="4" t="str">
        <f>""</f>
        <v/>
      </c>
      <c r="N10" s="4" t="s">
        <v>34</v>
      </c>
      <c r="O10" s="3"/>
      <c r="P10" s="3"/>
      <c r="Q10" s="3"/>
      <c r="R10" s="4" t="s">
        <v>35</v>
      </c>
      <c r="S10" s="3"/>
      <c r="T10" s="4" t="str">
        <f>"14470-346E-001"</f>
        <v>14470-346E-001</v>
      </c>
      <c r="U10" s="4" t="str">
        <f>"01-117014"</f>
        <v>01-117014</v>
      </c>
      <c r="V10" s="4" t="str">
        <f>"563A"</f>
        <v>563A</v>
      </c>
      <c r="W10" s="4" t="s">
        <v>36</v>
      </c>
      <c r="X10" s="4" t="str">
        <f t="shared" si="0"/>
        <v>15175</v>
      </c>
      <c r="Y10" s="4" t="str">
        <f>"14470-346E-001"</f>
        <v>14470-346E-001</v>
      </c>
      <c r="Z10" s="4" t="str">
        <f>""</f>
        <v/>
      </c>
      <c r="AA10" s="4" t="str">
        <f>""</f>
        <v/>
      </c>
      <c r="AB10" s="5">
        <v>43465</v>
      </c>
      <c r="AC10" s="6">
        <v>83673176375</v>
      </c>
    </row>
    <row r="11" spans="1:29" ht="14.45" customHeight="1" x14ac:dyDescent="0.25">
      <c r="A11" s="4" t="s">
        <v>25</v>
      </c>
      <c r="B11" s="4" t="s">
        <v>26</v>
      </c>
      <c r="C11" s="4" t="s">
        <v>27</v>
      </c>
      <c r="D11" s="4" t="s">
        <v>28</v>
      </c>
      <c r="E11" s="4" t="s">
        <v>26</v>
      </c>
      <c r="F11" s="4" t="s">
        <v>318</v>
      </c>
      <c r="G11" s="4" t="s">
        <v>318</v>
      </c>
      <c r="H11" s="4" t="s">
        <v>319</v>
      </c>
      <c r="I11" s="4" t="s">
        <v>32</v>
      </c>
      <c r="J11" s="4" t="str">
        <f>"4130SB0002679"</f>
        <v>4130SB0002679</v>
      </c>
      <c r="K11" s="4" t="s">
        <v>259</v>
      </c>
      <c r="L11" s="4" t="str">
        <f>""</f>
        <v/>
      </c>
      <c r="M11" s="4" t="str">
        <f>""</f>
        <v/>
      </c>
      <c r="N11" s="4" t="s">
        <v>34</v>
      </c>
      <c r="O11" s="3"/>
      <c r="P11" s="3"/>
      <c r="Q11" s="3"/>
      <c r="R11" s="4" t="s">
        <v>35</v>
      </c>
      <c r="S11" s="3"/>
      <c r="T11" s="4" t="str">
        <f>"14470-346E-001"</f>
        <v>14470-346E-001</v>
      </c>
      <c r="U11" s="4" t="str">
        <f>"01-117016"</f>
        <v>01-117016</v>
      </c>
      <c r="V11" s="4" t="str">
        <f>"566"</f>
        <v>566</v>
      </c>
      <c r="W11" s="4" t="s">
        <v>36</v>
      </c>
      <c r="X11" s="4" t="str">
        <f t="shared" si="0"/>
        <v>15175</v>
      </c>
      <c r="Y11" s="4" t="str">
        <f>"14470-346E-001"</f>
        <v>14470-346E-001</v>
      </c>
      <c r="Z11" s="4" t="str">
        <f>""</f>
        <v/>
      </c>
      <c r="AA11" s="4" t="str">
        <f>""</f>
        <v/>
      </c>
      <c r="AB11" s="5">
        <v>43465</v>
      </c>
      <c r="AC11" s="6">
        <v>83673176375</v>
      </c>
    </row>
    <row r="12" spans="1:29" ht="14.45" customHeight="1" x14ac:dyDescent="0.25">
      <c r="A12" s="4" t="s">
        <v>25</v>
      </c>
      <c r="B12" s="4" t="s">
        <v>26</v>
      </c>
      <c r="C12" s="4" t="s">
        <v>27</v>
      </c>
      <c r="D12" s="4" t="s">
        <v>28</v>
      </c>
      <c r="E12" s="4" t="s">
        <v>26</v>
      </c>
      <c r="F12" s="4" t="s">
        <v>318</v>
      </c>
      <c r="G12" s="4" t="s">
        <v>318</v>
      </c>
      <c r="H12" s="4" t="s">
        <v>319</v>
      </c>
      <c r="I12" s="4" t="s">
        <v>32</v>
      </c>
      <c r="J12" s="4" t="str">
        <f>"4130SB0002679"</f>
        <v>4130SB0002679</v>
      </c>
      <c r="K12" s="4" t="s">
        <v>259</v>
      </c>
      <c r="L12" s="4" t="str">
        <f>""</f>
        <v/>
      </c>
      <c r="M12" s="4" t="str">
        <f>""</f>
        <v/>
      </c>
      <c r="N12" s="4" t="s">
        <v>34</v>
      </c>
      <c r="O12" s="3"/>
      <c r="P12" s="3"/>
      <c r="Q12" s="3"/>
      <c r="R12" s="4" t="s">
        <v>35</v>
      </c>
      <c r="S12" s="3"/>
      <c r="T12" s="4" t="str">
        <f>"14470-346E-001"</f>
        <v>14470-346E-001</v>
      </c>
      <c r="U12" s="4" t="str">
        <f>"01-117018"</f>
        <v>01-117018</v>
      </c>
      <c r="V12" s="4" t="str">
        <f>"564A"</f>
        <v>564A</v>
      </c>
      <c r="W12" s="4" t="s">
        <v>36</v>
      </c>
      <c r="X12" s="4" t="str">
        <f t="shared" si="0"/>
        <v>15175</v>
      </c>
      <c r="Y12" s="4" t="str">
        <f>"14470-346E-001"</f>
        <v>14470-346E-001</v>
      </c>
      <c r="Z12" s="4" t="str">
        <f>""</f>
        <v/>
      </c>
      <c r="AA12" s="4" t="str">
        <f>""</f>
        <v/>
      </c>
      <c r="AB12" s="5">
        <v>43465</v>
      </c>
      <c r="AC12" s="6">
        <v>83673176375</v>
      </c>
    </row>
    <row r="13" spans="1:29" ht="14.45" customHeight="1" x14ac:dyDescent="0.25">
      <c r="A13" s="4" t="s">
        <v>25</v>
      </c>
      <c r="B13" s="4" t="s">
        <v>26</v>
      </c>
      <c r="C13" s="4" t="s">
        <v>27</v>
      </c>
      <c r="D13" s="4" t="s">
        <v>28</v>
      </c>
      <c r="E13" s="4" t="s">
        <v>26</v>
      </c>
      <c r="F13" s="4" t="s">
        <v>318</v>
      </c>
      <c r="G13" s="4" t="s">
        <v>318</v>
      </c>
      <c r="H13" s="4" t="s">
        <v>319</v>
      </c>
      <c r="I13" s="4" t="s">
        <v>32</v>
      </c>
      <c r="J13" s="4" t="str">
        <f>"4130SB0002679"</f>
        <v>4130SB0002679</v>
      </c>
      <c r="K13" s="4" t="s">
        <v>259</v>
      </c>
      <c r="L13" s="4" t="str">
        <f>""</f>
        <v/>
      </c>
      <c r="M13" s="4" t="str">
        <f>""</f>
        <v/>
      </c>
      <c r="N13" s="4" t="s">
        <v>34</v>
      </c>
      <c r="O13" s="3"/>
      <c r="P13" s="3"/>
      <c r="Q13" s="3"/>
      <c r="R13" s="4" t="s">
        <v>35</v>
      </c>
      <c r="S13" s="3"/>
      <c r="T13" s="4" t="str">
        <f>"14470-346E-001"</f>
        <v>14470-346E-001</v>
      </c>
      <c r="U13" s="4" t="str">
        <f>"03-114084"</f>
        <v>03-114084</v>
      </c>
      <c r="V13" s="4" t="str">
        <f>"651"</f>
        <v>651</v>
      </c>
      <c r="W13" s="4" t="s">
        <v>36</v>
      </c>
      <c r="X13" s="4" t="str">
        <f>"02MQ7"</f>
        <v>02MQ7</v>
      </c>
      <c r="Y13" s="4" t="str">
        <f>"14470-346E-001"</f>
        <v>14470-346E-001</v>
      </c>
      <c r="Z13" s="4" t="str">
        <f>""</f>
        <v/>
      </c>
      <c r="AA13" s="4" t="str">
        <f>""</f>
        <v/>
      </c>
      <c r="AB13" s="5">
        <v>43465</v>
      </c>
      <c r="AC13" s="6">
        <v>83673176375</v>
      </c>
    </row>
    <row r="14" spans="1:29" ht="14.45" customHeight="1" x14ac:dyDescent="0.25">
      <c r="A14" s="4" t="s">
        <v>25</v>
      </c>
      <c r="B14" s="4" t="s">
        <v>26</v>
      </c>
      <c r="C14" s="4" t="s">
        <v>27</v>
      </c>
      <c r="D14" s="4" t="s">
        <v>28</v>
      </c>
      <c r="E14" s="4" t="s">
        <v>26</v>
      </c>
      <c r="F14" s="4" t="s">
        <v>318</v>
      </c>
      <c r="G14" s="4" t="s">
        <v>318</v>
      </c>
      <c r="H14" s="4" t="s">
        <v>319</v>
      </c>
      <c r="I14" s="4" t="s">
        <v>32</v>
      </c>
      <c r="J14" s="4" t="str">
        <f>"4130SB0003101"</f>
        <v>4130SB0003101</v>
      </c>
      <c r="K14" s="4" t="s">
        <v>260</v>
      </c>
      <c r="L14" s="4" t="str">
        <f>""</f>
        <v/>
      </c>
      <c r="M14" s="4" t="str">
        <f>""</f>
        <v/>
      </c>
      <c r="N14" s="4" t="s">
        <v>34</v>
      </c>
      <c r="O14" s="3"/>
      <c r="P14" s="3"/>
      <c r="Q14" s="3"/>
      <c r="R14" s="4" t="s">
        <v>35</v>
      </c>
      <c r="S14" s="3"/>
      <c r="T14" s="4" t="str">
        <f>"14470-121-001"</f>
        <v>14470-121-001</v>
      </c>
      <c r="U14" s="4" t="str">
        <f>"NCIAX11170312"</f>
        <v>NCIAX11170312</v>
      </c>
      <c r="V14" s="4" t="str">
        <f>""</f>
        <v/>
      </c>
      <c r="W14" s="4" t="s">
        <v>36</v>
      </c>
      <c r="X14" s="4" t="str">
        <f>"15175"</f>
        <v>15175</v>
      </c>
      <c r="Y14" s="4" t="str">
        <f>"14470-121-001"</f>
        <v>14470-121-001</v>
      </c>
      <c r="Z14" s="4" t="str">
        <f>""</f>
        <v/>
      </c>
      <c r="AA14" s="4" t="str">
        <f>""</f>
        <v/>
      </c>
      <c r="AB14" s="5">
        <v>43465</v>
      </c>
      <c r="AC14" s="4">
        <v>5375</v>
      </c>
    </row>
    <row r="15" spans="1:29" ht="14.45" customHeight="1" x14ac:dyDescent="0.25">
      <c r="A15" s="4" t="s">
        <v>25</v>
      </c>
      <c r="B15" s="4" t="s">
        <v>26</v>
      </c>
      <c r="C15" s="4" t="s">
        <v>27</v>
      </c>
      <c r="D15" s="4" t="s">
        <v>28</v>
      </c>
      <c r="E15" s="4" t="s">
        <v>26</v>
      </c>
      <c r="F15" s="4" t="s">
        <v>318</v>
      </c>
      <c r="G15" s="4" t="s">
        <v>318</v>
      </c>
      <c r="H15" s="4" t="s">
        <v>319</v>
      </c>
      <c r="I15" s="4" t="s">
        <v>32</v>
      </c>
      <c r="J15" s="4" t="str">
        <f>"4130SB0003101"</f>
        <v>4130SB0003101</v>
      </c>
      <c r="K15" s="4" t="s">
        <v>260</v>
      </c>
      <c r="L15" s="4" t="str">
        <f>""</f>
        <v/>
      </c>
      <c r="M15" s="4" t="str">
        <f>""</f>
        <v/>
      </c>
      <c r="N15" s="4" t="s">
        <v>34</v>
      </c>
      <c r="O15" s="3"/>
      <c r="P15" s="3"/>
      <c r="Q15" s="3"/>
      <c r="R15" s="4" t="s">
        <v>35</v>
      </c>
      <c r="S15" s="3"/>
      <c r="T15" s="4" t="str">
        <f>"14470-121-001"</f>
        <v>14470-121-001</v>
      </c>
      <c r="U15" s="4" t="str">
        <f>"NCIAX11170313"</f>
        <v>NCIAX11170313</v>
      </c>
      <c r="V15" s="4" t="str">
        <f>""</f>
        <v/>
      </c>
      <c r="W15" s="4" t="s">
        <v>36</v>
      </c>
      <c r="X15" s="4" t="str">
        <f>"15175"</f>
        <v>15175</v>
      </c>
      <c r="Y15" s="4" t="str">
        <f>"14470-121-001"</f>
        <v>14470-121-001</v>
      </c>
      <c r="Z15" s="4" t="str">
        <f>""</f>
        <v/>
      </c>
      <c r="AA15" s="4" t="str">
        <f>""</f>
        <v/>
      </c>
      <c r="AB15" s="5">
        <v>43465</v>
      </c>
      <c r="AC15" s="4">
        <v>5375</v>
      </c>
    </row>
    <row r="16" spans="1:29" ht="14.45" customHeight="1" x14ac:dyDescent="0.25">
      <c r="A16" s="4" t="s">
        <v>25</v>
      </c>
      <c r="B16" s="4" t="s">
        <v>26</v>
      </c>
      <c r="C16" s="4" t="s">
        <v>27</v>
      </c>
      <c r="D16" s="4" t="s">
        <v>28</v>
      </c>
      <c r="E16" s="4" t="s">
        <v>26</v>
      </c>
      <c r="F16" s="4" t="s">
        <v>318</v>
      </c>
      <c r="G16" s="4" t="s">
        <v>318</v>
      </c>
      <c r="H16" s="4" t="s">
        <v>319</v>
      </c>
      <c r="I16" s="4" t="s">
        <v>32</v>
      </c>
      <c r="J16" s="4" t="str">
        <f>"4130SB0003102"</f>
        <v>4130SB0003102</v>
      </c>
      <c r="K16" s="4" t="s">
        <v>261</v>
      </c>
      <c r="L16" s="4" t="str">
        <f>""</f>
        <v/>
      </c>
      <c r="M16" s="4" t="str">
        <f>""</f>
        <v/>
      </c>
      <c r="N16" s="4" t="s">
        <v>34</v>
      </c>
      <c r="O16" s="3"/>
      <c r="P16" s="3"/>
      <c r="Q16" s="3"/>
      <c r="R16" s="4" t="s">
        <v>35</v>
      </c>
      <c r="S16" s="3"/>
      <c r="T16" s="4" t="str">
        <f>"14470-121-002"</f>
        <v>14470-121-002</v>
      </c>
      <c r="U16" s="4" t="str">
        <f>"NCIAX11170316"</f>
        <v>NCIAX11170316</v>
      </c>
      <c r="V16" s="4" t="str">
        <f>""</f>
        <v/>
      </c>
      <c r="W16" s="4" t="s">
        <v>36</v>
      </c>
      <c r="X16" s="4" t="str">
        <f>"15175"</f>
        <v>15175</v>
      </c>
      <c r="Y16" s="4" t="str">
        <f>"14470-121-002"</f>
        <v>14470-121-002</v>
      </c>
      <c r="Z16" s="4" t="str">
        <f>""</f>
        <v/>
      </c>
      <c r="AA16" s="4" t="str">
        <f>""</f>
        <v/>
      </c>
      <c r="AB16" s="5">
        <v>43465</v>
      </c>
      <c r="AC16" s="6">
        <v>3951961075</v>
      </c>
    </row>
    <row r="17" spans="1:29" ht="14.45" customHeight="1" x14ac:dyDescent="0.25">
      <c r="A17" s="4" t="s">
        <v>25</v>
      </c>
      <c r="B17" s="4" t="s">
        <v>26</v>
      </c>
      <c r="C17" s="4" t="s">
        <v>27</v>
      </c>
      <c r="D17" s="4" t="s">
        <v>28</v>
      </c>
      <c r="E17" s="4" t="s">
        <v>26</v>
      </c>
      <c r="F17" s="4" t="s">
        <v>318</v>
      </c>
      <c r="G17" s="4" t="s">
        <v>318</v>
      </c>
      <c r="H17" s="4" t="s">
        <v>319</v>
      </c>
      <c r="I17" s="4" t="s">
        <v>32</v>
      </c>
      <c r="J17" s="4" t="str">
        <f>"4130SB0003102"</f>
        <v>4130SB0003102</v>
      </c>
      <c r="K17" s="4" t="s">
        <v>261</v>
      </c>
      <c r="L17" s="4" t="str">
        <f>""</f>
        <v/>
      </c>
      <c r="M17" s="4" t="str">
        <f>""</f>
        <v/>
      </c>
      <c r="N17" s="4" t="s">
        <v>34</v>
      </c>
      <c r="O17" s="3"/>
      <c r="P17" s="3"/>
      <c r="Q17" s="3"/>
      <c r="R17" s="4" t="s">
        <v>35</v>
      </c>
      <c r="S17" s="3"/>
      <c r="T17" s="4" t="str">
        <f>"14470-121-002"</f>
        <v>14470-121-002</v>
      </c>
      <c r="U17" s="4" t="str">
        <f>"NCIAX11170317"</f>
        <v>NCIAX11170317</v>
      </c>
      <c r="V17" s="4" t="str">
        <f>""</f>
        <v/>
      </c>
      <c r="W17" s="4" t="s">
        <v>36</v>
      </c>
      <c r="X17" s="4" t="str">
        <f>"15175"</f>
        <v>15175</v>
      </c>
      <c r="Y17" s="4" t="str">
        <f>"14470-121-002"</f>
        <v>14470-121-002</v>
      </c>
      <c r="Z17" s="4" t="str">
        <f>""</f>
        <v/>
      </c>
      <c r="AA17" s="4" t="str">
        <f>""</f>
        <v/>
      </c>
      <c r="AB17" s="5">
        <v>43465</v>
      </c>
      <c r="AC17" s="6">
        <v>3951961075</v>
      </c>
    </row>
    <row r="18" spans="1:29" ht="14.45" customHeight="1" x14ac:dyDescent="0.25">
      <c r="A18" s="4" t="s">
        <v>25</v>
      </c>
      <c r="B18" s="4" t="s">
        <v>26</v>
      </c>
      <c r="C18" s="4" t="s">
        <v>27</v>
      </c>
      <c r="D18" s="4" t="s">
        <v>28</v>
      </c>
      <c r="E18" s="4" t="s">
        <v>26</v>
      </c>
      <c r="F18" s="4" t="s">
        <v>318</v>
      </c>
      <c r="G18" s="4" t="s">
        <v>318</v>
      </c>
      <c r="H18" s="4" t="s">
        <v>319</v>
      </c>
      <c r="I18" s="4" t="s">
        <v>32</v>
      </c>
      <c r="J18" s="4" t="str">
        <f>"4130SB0003615"</f>
        <v>4130SB0003615</v>
      </c>
      <c r="K18" s="4" t="s">
        <v>262</v>
      </c>
      <c r="L18" s="4" t="str">
        <f>""</f>
        <v/>
      </c>
      <c r="M18" s="4" t="str">
        <f>""</f>
        <v/>
      </c>
      <c r="N18" s="4" t="s">
        <v>34</v>
      </c>
      <c r="O18" s="3"/>
      <c r="P18" s="3"/>
      <c r="Q18" s="3"/>
      <c r="R18" s="4" t="s">
        <v>35</v>
      </c>
      <c r="S18" s="3"/>
      <c r="T18" s="4" t="str">
        <f>"ATV311HU55N4"</f>
        <v>ATV311HU55N4</v>
      </c>
      <c r="U18" s="4" t="str">
        <f>"01-117051"</f>
        <v>01-117051</v>
      </c>
      <c r="V18" s="4" t="str">
        <f>"00798358"</f>
        <v>00798358</v>
      </c>
      <c r="W18" s="4" t="s">
        <v>36</v>
      </c>
      <c r="X18" s="4" t="str">
        <f>"KC2A7"</f>
        <v>KC2A7</v>
      </c>
      <c r="Y18" s="4" t="str">
        <f>"ATV311HU55N4"</f>
        <v>ATV311HU55N4</v>
      </c>
      <c r="Z18" s="4" t="str">
        <f>""</f>
        <v/>
      </c>
      <c r="AA18" s="4" t="str">
        <f>""</f>
        <v/>
      </c>
      <c r="AB18" s="5">
        <v>43465</v>
      </c>
      <c r="AC18" s="4">
        <v>1322.76</v>
      </c>
    </row>
    <row r="19" spans="1:29" ht="14.45" customHeight="1" x14ac:dyDescent="0.25">
      <c r="A19" s="4" t="s">
        <v>25</v>
      </c>
      <c r="B19" s="4" t="s">
        <v>26</v>
      </c>
      <c r="C19" s="4" t="s">
        <v>27</v>
      </c>
      <c r="D19" s="4" t="s">
        <v>28</v>
      </c>
      <c r="E19" s="4" t="s">
        <v>26</v>
      </c>
      <c r="F19" s="4" t="s">
        <v>318</v>
      </c>
      <c r="G19" s="4" t="s">
        <v>318</v>
      </c>
      <c r="H19" s="4" t="s">
        <v>319</v>
      </c>
      <c r="I19" s="4" t="s">
        <v>32</v>
      </c>
      <c r="J19" s="4" t="str">
        <f>"4130SB0003615"</f>
        <v>4130SB0003615</v>
      </c>
      <c r="K19" s="4" t="s">
        <v>262</v>
      </c>
      <c r="L19" s="4" t="str">
        <f>""</f>
        <v/>
      </c>
      <c r="M19" s="4" t="str">
        <f>""</f>
        <v/>
      </c>
      <c r="N19" s="4" t="s">
        <v>34</v>
      </c>
      <c r="O19" s="3"/>
      <c r="P19" s="3"/>
      <c r="Q19" s="3"/>
      <c r="R19" s="4" t="s">
        <v>35</v>
      </c>
      <c r="S19" s="3"/>
      <c r="T19" s="4" t="str">
        <f>"ATV311HU55N4"</f>
        <v>ATV311HU55N4</v>
      </c>
      <c r="U19" s="4" t="str">
        <f>"01-117052"</f>
        <v>01-117052</v>
      </c>
      <c r="V19" s="4" t="str">
        <f>"00798360"</f>
        <v>00798360</v>
      </c>
      <c r="W19" s="4" t="s">
        <v>36</v>
      </c>
      <c r="X19" s="4" t="str">
        <f>"KC2A7"</f>
        <v>KC2A7</v>
      </c>
      <c r="Y19" s="4" t="str">
        <f>"ATV311HU55N4"</f>
        <v>ATV311HU55N4</v>
      </c>
      <c r="Z19" s="4" t="str">
        <f>""</f>
        <v/>
      </c>
      <c r="AA19" s="4" t="str">
        <f>""</f>
        <v/>
      </c>
      <c r="AB19" s="5">
        <v>43465</v>
      </c>
      <c r="AC19" s="4">
        <v>1322.76</v>
      </c>
    </row>
    <row r="20" spans="1:29" ht="14.45" customHeight="1" x14ac:dyDescent="0.25">
      <c r="A20" s="4" t="s">
        <v>25</v>
      </c>
      <c r="B20" s="4" t="s">
        <v>26</v>
      </c>
      <c r="C20" s="4" t="s">
        <v>27</v>
      </c>
      <c r="D20" s="4" t="s">
        <v>28</v>
      </c>
      <c r="E20" s="4" t="s">
        <v>26</v>
      </c>
      <c r="F20" s="4" t="s">
        <v>318</v>
      </c>
      <c r="G20" s="4" t="s">
        <v>318</v>
      </c>
      <c r="H20" s="4" t="s">
        <v>319</v>
      </c>
      <c r="I20" s="4" t="s">
        <v>32</v>
      </c>
      <c r="J20" s="4" t="str">
        <f>"4130SB0003615"</f>
        <v>4130SB0003615</v>
      </c>
      <c r="K20" s="4" t="s">
        <v>262</v>
      </c>
      <c r="L20" s="4" t="str">
        <f>""</f>
        <v/>
      </c>
      <c r="M20" s="4" t="str">
        <f>""</f>
        <v/>
      </c>
      <c r="N20" s="4" t="s">
        <v>34</v>
      </c>
      <c r="O20" s="3"/>
      <c r="P20" s="3"/>
      <c r="Q20" s="3"/>
      <c r="R20" s="4" t="s">
        <v>35</v>
      </c>
      <c r="S20" s="3"/>
      <c r="T20" s="4" t="str">
        <f>"ATV311HU55N4"</f>
        <v>ATV311HU55N4</v>
      </c>
      <c r="U20" s="4" t="str">
        <f>"01-117053"</f>
        <v>01-117053</v>
      </c>
      <c r="V20" s="4" t="str">
        <f>"00798359"</f>
        <v>00798359</v>
      </c>
      <c r="W20" s="4" t="s">
        <v>36</v>
      </c>
      <c r="X20" s="4" t="str">
        <f>"KC2A7"</f>
        <v>KC2A7</v>
      </c>
      <c r="Y20" s="4" t="str">
        <f>"ATV311HU55N4"</f>
        <v>ATV311HU55N4</v>
      </c>
      <c r="Z20" s="4" t="str">
        <f>""</f>
        <v/>
      </c>
      <c r="AA20" s="4" t="str">
        <f>""</f>
        <v/>
      </c>
      <c r="AB20" s="5">
        <v>43465</v>
      </c>
      <c r="AC20" s="4">
        <v>1322.76</v>
      </c>
    </row>
    <row r="21" spans="1:29" ht="14.45" customHeight="1" x14ac:dyDescent="0.25">
      <c r="A21" s="4" t="s">
        <v>25</v>
      </c>
      <c r="B21" s="4" t="s">
        <v>26</v>
      </c>
      <c r="C21" s="4" t="s">
        <v>27</v>
      </c>
      <c r="D21" s="4" t="s">
        <v>28</v>
      </c>
      <c r="E21" s="4" t="s">
        <v>26</v>
      </c>
      <c r="F21" s="4" t="s">
        <v>318</v>
      </c>
      <c r="G21" s="4" t="s">
        <v>318</v>
      </c>
      <c r="H21" s="4" t="s">
        <v>319</v>
      </c>
      <c r="I21" s="4" t="s">
        <v>32</v>
      </c>
      <c r="J21" s="4" t="str">
        <f>"4440SB0003011"</f>
        <v>4440SB0003011</v>
      </c>
      <c r="K21" s="4" t="s">
        <v>33</v>
      </c>
      <c r="L21" s="4" t="str">
        <f>""</f>
        <v/>
      </c>
      <c r="M21" s="4" t="str">
        <f>""</f>
        <v/>
      </c>
      <c r="N21" s="4" t="s">
        <v>34</v>
      </c>
      <c r="O21" s="3"/>
      <c r="P21" s="3"/>
      <c r="Q21" s="3"/>
      <c r="R21" s="4" t="s">
        <v>35</v>
      </c>
      <c r="S21" s="3"/>
      <c r="T21" s="4" t="str">
        <f>"23740"</f>
        <v>23740</v>
      </c>
      <c r="U21" s="4" t="str">
        <f>"01-117030"</f>
        <v>01-117030</v>
      </c>
      <c r="V21" s="4" t="str">
        <f>"0005"</f>
        <v>0005</v>
      </c>
      <c r="W21" s="4" t="s">
        <v>36</v>
      </c>
      <c r="X21" s="4" t="str">
        <f>"0F960"</f>
        <v>0F960</v>
      </c>
      <c r="Y21" s="4" t="str">
        <f>"23740"</f>
        <v>23740</v>
      </c>
      <c r="Z21" s="4" t="str">
        <f>""</f>
        <v/>
      </c>
      <c r="AA21" s="4" t="str">
        <f>""</f>
        <v/>
      </c>
      <c r="AB21" s="5">
        <v>43465</v>
      </c>
      <c r="AC21" s="4">
        <v>0</v>
      </c>
    </row>
    <row r="22" spans="1:29" ht="14.45" customHeight="1" x14ac:dyDescent="0.25">
      <c r="A22" s="4" t="s">
        <v>25</v>
      </c>
      <c r="B22" s="4" t="s">
        <v>26</v>
      </c>
      <c r="C22" s="4" t="s">
        <v>27</v>
      </c>
      <c r="D22" s="4" t="s">
        <v>28</v>
      </c>
      <c r="E22" s="4" t="s">
        <v>26</v>
      </c>
      <c r="F22" s="4" t="s">
        <v>318</v>
      </c>
      <c r="G22" s="4" t="s">
        <v>318</v>
      </c>
      <c r="H22" s="4" t="s">
        <v>319</v>
      </c>
      <c r="I22" s="4" t="s">
        <v>263</v>
      </c>
      <c r="J22" s="4" t="str">
        <f>"4520SB0001965"</f>
        <v>4520SB0001965</v>
      </c>
      <c r="K22" s="4" t="s">
        <v>264</v>
      </c>
      <c r="L22" s="4" t="str">
        <f>""</f>
        <v/>
      </c>
      <c r="M22" s="4" t="str">
        <f>""</f>
        <v/>
      </c>
      <c r="N22" s="4" t="s">
        <v>34</v>
      </c>
      <c r="O22" s="3"/>
      <c r="P22" s="3"/>
      <c r="Q22" s="3"/>
      <c r="R22" s="4" t="s">
        <v>35</v>
      </c>
      <c r="S22" s="3"/>
      <c r="T22" s="4" t="str">
        <f>"4520226133506"</f>
        <v>4520226133506</v>
      </c>
      <c r="U22" s="4" t="str">
        <f>"37-4771"</f>
        <v>37-4771</v>
      </c>
      <c r="V22" s="4" t="str">
        <f>"0603170820300"</f>
        <v>0603170820300</v>
      </c>
      <c r="W22" s="4" t="s">
        <v>36</v>
      </c>
      <c r="X22" s="4" t="str">
        <f>"R3037"</f>
        <v>R3037</v>
      </c>
      <c r="Y22" s="4" t="str">
        <f>"322029"</f>
        <v>322029</v>
      </c>
      <c r="Z22" s="4" t="str">
        <f>""</f>
        <v/>
      </c>
      <c r="AA22" s="4" t="str">
        <f>""</f>
        <v/>
      </c>
      <c r="AB22" s="5">
        <v>43465</v>
      </c>
      <c r="AC22" s="4">
        <v>0</v>
      </c>
    </row>
    <row r="23" spans="1:29" ht="14.45" customHeight="1" x14ac:dyDescent="0.25">
      <c r="A23" s="4" t="s">
        <v>25</v>
      </c>
      <c r="B23" s="4" t="s">
        <v>26</v>
      </c>
      <c r="C23" s="4" t="s">
        <v>27</v>
      </c>
      <c r="D23" s="4" t="s">
        <v>28</v>
      </c>
      <c r="E23" s="4" t="s">
        <v>26</v>
      </c>
      <c r="F23" s="4" t="s">
        <v>318</v>
      </c>
      <c r="G23" s="4" t="s">
        <v>318</v>
      </c>
      <c r="H23" s="4" t="s">
        <v>319</v>
      </c>
      <c r="I23" s="4" t="s">
        <v>37</v>
      </c>
      <c r="J23" s="4" t="str">
        <f>"5180SB0005714"</f>
        <v>5180SB0005714</v>
      </c>
      <c r="K23" s="4" t="s">
        <v>265</v>
      </c>
      <c r="L23" s="4" t="str">
        <f>""</f>
        <v/>
      </c>
      <c r="M23" s="4" t="str">
        <f>""</f>
        <v/>
      </c>
      <c r="N23" s="4" t="s">
        <v>34</v>
      </c>
      <c r="O23" s="3"/>
      <c r="P23" s="3"/>
      <c r="Q23" s="3"/>
      <c r="R23" s="4" t="s">
        <v>35</v>
      </c>
      <c r="S23" s="3"/>
      <c r="T23" s="4" t="str">
        <f>"10537-09000"</f>
        <v>10537-09000</v>
      </c>
      <c r="U23" s="4" t="str">
        <f>"NCIAX11170714"</f>
        <v>NCIAX11170714</v>
      </c>
      <c r="V23" s="4" t="str">
        <f>""</f>
        <v/>
      </c>
      <c r="W23" s="4" t="s">
        <v>36</v>
      </c>
      <c r="X23" s="4" t="str">
        <f>"02MQ7"</f>
        <v>02MQ7</v>
      </c>
      <c r="Y23" s="4" t="str">
        <f>"10537-09000"</f>
        <v>10537-09000</v>
      </c>
      <c r="Z23" s="4" t="str">
        <f>""</f>
        <v/>
      </c>
      <c r="AA23" s="4" t="str">
        <f>""</f>
        <v/>
      </c>
      <c r="AB23" s="5">
        <v>43465</v>
      </c>
      <c r="AC23" s="6">
        <v>5594252568</v>
      </c>
    </row>
    <row r="24" spans="1:29" ht="14.45" customHeight="1" x14ac:dyDescent="0.25">
      <c r="A24" s="4" t="s">
        <v>25</v>
      </c>
      <c r="B24" s="4" t="s">
        <v>26</v>
      </c>
      <c r="C24" s="4" t="s">
        <v>27</v>
      </c>
      <c r="D24" s="4" t="s">
        <v>28</v>
      </c>
      <c r="E24" s="4" t="s">
        <v>26</v>
      </c>
      <c r="F24" s="4" t="s">
        <v>318</v>
      </c>
      <c r="G24" s="4" t="s">
        <v>318</v>
      </c>
      <c r="H24" s="4" t="s">
        <v>319</v>
      </c>
      <c r="I24" s="4" t="s">
        <v>47</v>
      </c>
      <c r="J24" s="4" t="str">
        <f>"5895SB0002379"</f>
        <v>5895SB0002379</v>
      </c>
      <c r="K24" s="4" t="s">
        <v>48</v>
      </c>
      <c r="L24" s="4" t="str">
        <f>""</f>
        <v/>
      </c>
      <c r="M24" s="4" t="str">
        <f>""</f>
        <v/>
      </c>
      <c r="N24" s="4" t="s">
        <v>34</v>
      </c>
      <c r="O24" s="3"/>
      <c r="P24" s="3"/>
      <c r="Q24" s="3"/>
      <c r="R24" s="4" t="s">
        <v>35</v>
      </c>
      <c r="S24" s="3"/>
      <c r="T24" s="4" t="str">
        <f>"5895015192415"</f>
        <v>5895015192415</v>
      </c>
      <c r="U24" s="4" t="str">
        <f>"03-128237"</f>
        <v>03-128237</v>
      </c>
      <c r="V24" s="4" t="str">
        <f>"121712190422"</f>
        <v>121712190422</v>
      </c>
      <c r="W24" s="4" t="s">
        <v>36</v>
      </c>
      <c r="X24" s="4" t="str">
        <f>"2U761"</f>
        <v>2U761</v>
      </c>
      <c r="Y24" s="4" t="str">
        <f>"1075560"</f>
        <v>1075560</v>
      </c>
      <c r="Z24" s="4" t="str">
        <f>""</f>
        <v/>
      </c>
      <c r="AA24" s="4" t="str">
        <f>""</f>
        <v/>
      </c>
      <c r="AB24" s="5">
        <v>43465</v>
      </c>
      <c r="AC24" s="4">
        <v>0</v>
      </c>
    </row>
    <row r="25" spans="1:29" ht="14.45" customHeight="1" x14ac:dyDescent="0.25">
      <c r="A25" s="4" t="s">
        <v>25</v>
      </c>
      <c r="B25" s="4" t="s">
        <v>26</v>
      </c>
      <c r="C25" s="4" t="s">
        <v>27</v>
      </c>
      <c r="D25" s="4" t="s">
        <v>28</v>
      </c>
      <c r="E25" s="4" t="s">
        <v>26</v>
      </c>
      <c r="F25" s="4" t="s">
        <v>318</v>
      </c>
      <c r="G25" s="4" t="s">
        <v>318</v>
      </c>
      <c r="H25" s="4" t="s">
        <v>319</v>
      </c>
      <c r="I25" s="4" t="s">
        <v>47</v>
      </c>
      <c r="J25" s="4" t="str">
        <f>"5895SB0002379"</f>
        <v>5895SB0002379</v>
      </c>
      <c r="K25" s="4" t="s">
        <v>48</v>
      </c>
      <c r="L25" s="4" t="str">
        <f>""</f>
        <v/>
      </c>
      <c r="M25" s="4" t="str">
        <f>""</f>
        <v/>
      </c>
      <c r="N25" s="4" t="s">
        <v>34</v>
      </c>
      <c r="O25" s="3"/>
      <c r="P25" s="3"/>
      <c r="Q25" s="3"/>
      <c r="R25" s="4" t="s">
        <v>35</v>
      </c>
      <c r="S25" s="3"/>
      <c r="T25" s="4" t="str">
        <f>"5895015192415"</f>
        <v>5895015192415</v>
      </c>
      <c r="U25" s="4" t="str">
        <f>"03-128244"</f>
        <v>03-128244</v>
      </c>
      <c r="V25" s="4" t="str">
        <f>"121712190429"</f>
        <v>121712190429</v>
      </c>
      <c r="W25" s="4" t="s">
        <v>36</v>
      </c>
      <c r="X25" s="4" t="str">
        <f>"2U761"</f>
        <v>2U761</v>
      </c>
      <c r="Y25" s="4" t="str">
        <f>"1075560"</f>
        <v>1075560</v>
      </c>
      <c r="Z25" s="4" t="str">
        <f>""</f>
        <v/>
      </c>
      <c r="AA25" s="4" t="str">
        <f>""</f>
        <v/>
      </c>
      <c r="AB25" s="5">
        <v>43465</v>
      </c>
      <c r="AC25" s="4">
        <v>0</v>
      </c>
    </row>
    <row r="26" spans="1:29" ht="14.45" customHeight="1" x14ac:dyDescent="0.25">
      <c r="A26" s="4" t="s">
        <v>25</v>
      </c>
      <c r="B26" s="4" t="s">
        <v>26</v>
      </c>
      <c r="C26" s="4" t="s">
        <v>27</v>
      </c>
      <c r="D26" s="4" t="s">
        <v>28</v>
      </c>
      <c r="E26" s="4" t="s">
        <v>26</v>
      </c>
      <c r="F26" s="4" t="s">
        <v>318</v>
      </c>
      <c r="G26" s="4" t="s">
        <v>318</v>
      </c>
      <c r="H26" s="4" t="s">
        <v>319</v>
      </c>
      <c r="I26" s="4" t="s">
        <v>47</v>
      </c>
      <c r="J26" s="4" t="str">
        <f>"5895SB0002379"</f>
        <v>5895SB0002379</v>
      </c>
      <c r="K26" s="4" t="s">
        <v>48</v>
      </c>
      <c r="L26" s="4" t="str">
        <f>""</f>
        <v/>
      </c>
      <c r="M26" s="4" t="str">
        <f>""</f>
        <v/>
      </c>
      <c r="N26" s="4" t="s">
        <v>34</v>
      </c>
      <c r="O26" s="3"/>
      <c r="P26" s="3"/>
      <c r="Q26" s="3"/>
      <c r="R26" s="4" t="s">
        <v>35</v>
      </c>
      <c r="S26" s="3"/>
      <c r="T26" s="4" t="str">
        <f>"5895015192415"</f>
        <v>5895015192415</v>
      </c>
      <c r="U26" s="4" t="str">
        <f>"03-130963"</f>
        <v>03-130963</v>
      </c>
      <c r="V26" s="4" t="str">
        <f>"121713450035"</f>
        <v>121713450035</v>
      </c>
      <c r="W26" s="4" t="s">
        <v>36</v>
      </c>
      <c r="X26" s="4" t="str">
        <f>"2U761"</f>
        <v>2U761</v>
      </c>
      <c r="Y26" s="4" t="str">
        <f>"1075560"</f>
        <v>1075560</v>
      </c>
      <c r="Z26" s="4" t="str">
        <f>""</f>
        <v/>
      </c>
      <c r="AA26" s="4" t="str">
        <f>""</f>
        <v/>
      </c>
      <c r="AB26" s="5">
        <v>43465</v>
      </c>
      <c r="AC26" s="4">
        <v>0</v>
      </c>
    </row>
    <row r="27" spans="1:29" ht="14.45" customHeight="1" x14ac:dyDescent="0.25">
      <c r="A27" s="4" t="s">
        <v>25</v>
      </c>
      <c r="B27" s="4" t="s">
        <v>26</v>
      </c>
      <c r="C27" s="4" t="s">
        <v>27</v>
      </c>
      <c r="D27" s="4" t="s">
        <v>28</v>
      </c>
      <c r="E27" s="4" t="s">
        <v>26</v>
      </c>
      <c r="F27" s="4" t="s">
        <v>318</v>
      </c>
      <c r="G27" s="4" t="s">
        <v>318</v>
      </c>
      <c r="H27" s="4" t="s">
        <v>319</v>
      </c>
      <c r="I27" s="4" t="s">
        <v>47</v>
      </c>
      <c r="J27" s="4" t="str">
        <f>"5895SB0002379"</f>
        <v>5895SB0002379</v>
      </c>
      <c r="K27" s="4" t="s">
        <v>48</v>
      </c>
      <c r="L27" s="4" t="str">
        <f>""</f>
        <v/>
      </c>
      <c r="M27" s="4" t="str">
        <f>""</f>
        <v/>
      </c>
      <c r="N27" s="4" t="s">
        <v>34</v>
      </c>
      <c r="O27" s="3"/>
      <c r="P27" s="3"/>
      <c r="Q27" s="3"/>
      <c r="R27" s="4" t="s">
        <v>35</v>
      </c>
      <c r="S27" s="3"/>
      <c r="T27" s="4" t="str">
        <f>"5895015192415"</f>
        <v>5895015192415</v>
      </c>
      <c r="U27" s="4" t="str">
        <f>"03-130978"</f>
        <v>03-130978</v>
      </c>
      <c r="V27" s="4" t="str">
        <f>"121713450029"</f>
        <v>121713450029</v>
      </c>
      <c r="W27" s="4" t="s">
        <v>36</v>
      </c>
      <c r="X27" s="4" t="str">
        <f>"2U761"</f>
        <v>2U761</v>
      </c>
      <c r="Y27" s="4" t="str">
        <f>"1075560"</f>
        <v>1075560</v>
      </c>
      <c r="Z27" s="4" t="str">
        <f>""</f>
        <v/>
      </c>
      <c r="AA27" s="4" t="str">
        <f>""</f>
        <v/>
      </c>
      <c r="AB27" s="5">
        <v>43465</v>
      </c>
      <c r="AC27" s="4">
        <v>0</v>
      </c>
    </row>
    <row r="28" spans="1:29" ht="14.45" customHeight="1" x14ac:dyDescent="0.25">
      <c r="A28" s="4" t="s">
        <v>25</v>
      </c>
      <c r="B28" s="4" t="s">
        <v>26</v>
      </c>
      <c r="C28" s="4" t="s">
        <v>27</v>
      </c>
      <c r="D28" s="4" t="s">
        <v>28</v>
      </c>
      <c r="E28" s="4" t="s">
        <v>26</v>
      </c>
      <c r="F28" s="4" t="s">
        <v>318</v>
      </c>
      <c r="G28" s="4" t="s">
        <v>318</v>
      </c>
      <c r="H28" s="4" t="s">
        <v>319</v>
      </c>
      <c r="I28" s="4" t="s">
        <v>47</v>
      </c>
      <c r="J28" s="4" t="str">
        <f>"5895SB0002379"</f>
        <v>5895SB0002379</v>
      </c>
      <c r="K28" s="4" t="s">
        <v>48</v>
      </c>
      <c r="L28" s="4" t="str">
        <f>""</f>
        <v/>
      </c>
      <c r="M28" s="4" t="str">
        <f>""</f>
        <v/>
      </c>
      <c r="N28" s="4" t="s">
        <v>34</v>
      </c>
      <c r="O28" s="3"/>
      <c r="P28" s="3"/>
      <c r="Q28" s="3"/>
      <c r="R28" s="4" t="s">
        <v>35</v>
      </c>
      <c r="S28" s="3"/>
      <c r="T28" s="4" t="str">
        <f>"5895015192415"</f>
        <v>5895015192415</v>
      </c>
      <c r="U28" s="4" t="str">
        <f>"03-130987"</f>
        <v>03-130987</v>
      </c>
      <c r="V28" s="4" t="str">
        <f>"121713410022"</f>
        <v>121713410022</v>
      </c>
      <c r="W28" s="4" t="s">
        <v>36</v>
      </c>
      <c r="X28" s="4" t="str">
        <f>"2U761"</f>
        <v>2U761</v>
      </c>
      <c r="Y28" s="4" t="str">
        <f>"1075560"</f>
        <v>1075560</v>
      </c>
      <c r="Z28" s="4" t="str">
        <f>""</f>
        <v/>
      </c>
      <c r="AA28" s="4" t="str">
        <f>""</f>
        <v/>
      </c>
      <c r="AB28" s="5">
        <v>43465</v>
      </c>
      <c r="AC28" s="4">
        <v>0</v>
      </c>
    </row>
    <row r="29" spans="1:29" ht="14.45" customHeight="1" x14ac:dyDescent="0.25">
      <c r="A29" s="4" t="s">
        <v>25</v>
      </c>
      <c r="B29" s="4" t="s">
        <v>26</v>
      </c>
      <c r="C29" s="4" t="s">
        <v>27</v>
      </c>
      <c r="D29" s="4" t="s">
        <v>28</v>
      </c>
      <c r="E29" s="4" t="s">
        <v>26</v>
      </c>
      <c r="F29" s="4" t="s">
        <v>318</v>
      </c>
      <c r="G29" s="4" t="s">
        <v>318</v>
      </c>
      <c r="H29" s="4" t="s">
        <v>319</v>
      </c>
      <c r="I29" s="4" t="s">
        <v>51</v>
      </c>
      <c r="J29" s="4" t="str">
        <f>"5895SB0002489"</f>
        <v>5895SB0002489</v>
      </c>
      <c r="K29" s="4" t="s">
        <v>52</v>
      </c>
      <c r="L29" s="4" t="str">
        <f>""</f>
        <v/>
      </c>
      <c r="M29" s="4" t="str">
        <f>""</f>
        <v/>
      </c>
      <c r="N29" s="4" t="s">
        <v>34</v>
      </c>
      <c r="O29" s="3"/>
      <c r="P29" s="3"/>
      <c r="Q29" s="3"/>
      <c r="R29" s="4" t="s">
        <v>35</v>
      </c>
      <c r="S29" s="3"/>
      <c r="T29" s="4" t="str">
        <f>"174995-16"</f>
        <v>174995-16</v>
      </c>
      <c r="U29" s="4" t="str">
        <f>"01-117029"</f>
        <v>01-117029</v>
      </c>
      <c r="V29" s="4" t="str">
        <f>"1469739"</f>
        <v>1469739</v>
      </c>
      <c r="W29" s="4" t="s">
        <v>36</v>
      </c>
      <c r="X29" s="4" t="str">
        <f>"02MQ7"</f>
        <v>02MQ7</v>
      </c>
      <c r="Y29" s="4" t="str">
        <f>"174995-16"</f>
        <v>174995-16</v>
      </c>
      <c r="Z29" s="4" t="str">
        <f>""</f>
        <v/>
      </c>
      <c r="AA29" s="4" t="str">
        <f>""</f>
        <v/>
      </c>
      <c r="AB29" s="5">
        <v>43465</v>
      </c>
      <c r="AC29" s="4">
        <v>0</v>
      </c>
    </row>
    <row r="30" spans="1:29" ht="14.45" customHeight="1" x14ac:dyDescent="0.25">
      <c r="A30" s="4" t="s">
        <v>25</v>
      </c>
      <c r="B30" s="4" t="s">
        <v>26</v>
      </c>
      <c r="C30" s="4" t="s">
        <v>27</v>
      </c>
      <c r="D30" s="4" t="s">
        <v>28</v>
      </c>
      <c r="E30" s="4" t="s">
        <v>26</v>
      </c>
      <c r="F30" s="4" t="s">
        <v>318</v>
      </c>
      <c r="G30" s="4" t="s">
        <v>318</v>
      </c>
      <c r="H30" s="4" t="s">
        <v>319</v>
      </c>
      <c r="I30" s="4" t="s">
        <v>32</v>
      </c>
      <c r="J30" s="4" t="str">
        <f>"5895SB0002503"</f>
        <v>5895SB0002503</v>
      </c>
      <c r="K30" s="4" t="s">
        <v>320</v>
      </c>
      <c r="L30" s="4" t="str">
        <f>""</f>
        <v/>
      </c>
      <c r="M30" s="4" t="str">
        <f>""</f>
        <v/>
      </c>
      <c r="N30" s="4" t="s">
        <v>34</v>
      </c>
      <c r="O30" s="3"/>
      <c r="P30" s="3"/>
      <c r="Q30" s="3"/>
      <c r="R30" s="4" t="s">
        <v>35</v>
      </c>
      <c r="S30" s="3"/>
      <c r="T30" s="4" t="str">
        <f>"10537-05006-002"</f>
        <v>10537-05006-002</v>
      </c>
      <c r="U30" s="4" t="str">
        <f>"01-116994"</f>
        <v>01-116994</v>
      </c>
      <c r="V30" s="4" t="str">
        <f>"1000529"</f>
        <v>1000529</v>
      </c>
      <c r="W30" s="4" t="s">
        <v>36</v>
      </c>
      <c r="X30" s="4" t="str">
        <f>"02MQ7"</f>
        <v>02MQ7</v>
      </c>
      <c r="Y30" s="4" t="str">
        <f>"10537-05006-002"</f>
        <v>10537-05006-002</v>
      </c>
      <c r="Z30" s="4" t="str">
        <f>""</f>
        <v/>
      </c>
      <c r="AA30" s="4" t="str">
        <f>""</f>
        <v/>
      </c>
      <c r="AB30" s="5">
        <v>43465</v>
      </c>
      <c r="AC30" s="4">
        <v>0</v>
      </c>
    </row>
    <row r="31" spans="1:29" ht="14.45" customHeight="1" x14ac:dyDescent="0.25">
      <c r="A31" s="4" t="s">
        <v>25</v>
      </c>
      <c r="B31" s="4" t="s">
        <v>26</v>
      </c>
      <c r="C31" s="4" t="s">
        <v>27</v>
      </c>
      <c r="D31" s="4" t="s">
        <v>28</v>
      </c>
      <c r="E31" s="4" t="s">
        <v>26</v>
      </c>
      <c r="F31" s="4" t="s">
        <v>318</v>
      </c>
      <c r="G31" s="4" t="s">
        <v>318</v>
      </c>
      <c r="H31" s="4" t="s">
        <v>319</v>
      </c>
      <c r="I31" s="4" t="s">
        <v>54</v>
      </c>
      <c r="J31" s="4" t="str">
        <f>"5895SB0002742"</f>
        <v>5895SB0002742</v>
      </c>
      <c r="K31" s="4" t="s">
        <v>55</v>
      </c>
      <c r="L31" s="4" t="str">
        <f>""</f>
        <v/>
      </c>
      <c r="M31" s="4" t="str">
        <f>""</f>
        <v/>
      </c>
      <c r="N31" s="4" t="s">
        <v>34</v>
      </c>
      <c r="O31" s="3"/>
      <c r="P31" s="3"/>
      <c r="Q31" s="3"/>
      <c r="R31" s="4" t="s">
        <v>35</v>
      </c>
      <c r="S31" s="3"/>
      <c r="T31" s="4" t="str">
        <f>"174991-22"</f>
        <v>174991-22</v>
      </c>
      <c r="U31" s="4" t="str">
        <f>"01-114193"</f>
        <v>01-114193</v>
      </c>
      <c r="V31" s="4" t="str">
        <f>"1464317"</f>
        <v>1464317</v>
      </c>
      <c r="W31" s="4" t="s">
        <v>36</v>
      </c>
      <c r="X31" s="4" t="str">
        <f>"33592"</f>
        <v>33592</v>
      </c>
      <c r="Y31" s="4" t="str">
        <f>"174991-22"</f>
        <v>174991-22</v>
      </c>
      <c r="Z31" s="4" t="str">
        <f>""</f>
        <v/>
      </c>
      <c r="AA31" s="4" t="str">
        <f>""</f>
        <v/>
      </c>
      <c r="AB31" s="5">
        <v>43465</v>
      </c>
      <c r="AC31" s="4">
        <v>0</v>
      </c>
    </row>
    <row r="32" spans="1:29" ht="14.45" customHeight="1" x14ac:dyDescent="0.25">
      <c r="A32" s="4" t="s">
        <v>25</v>
      </c>
      <c r="B32" s="4" t="s">
        <v>26</v>
      </c>
      <c r="C32" s="4" t="s">
        <v>27</v>
      </c>
      <c r="D32" s="4" t="s">
        <v>28</v>
      </c>
      <c r="E32" s="4" t="s">
        <v>26</v>
      </c>
      <c r="F32" s="4" t="s">
        <v>318</v>
      </c>
      <c r="G32" s="4" t="s">
        <v>318</v>
      </c>
      <c r="H32" s="4" t="s">
        <v>319</v>
      </c>
      <c r="I32" s="4" t="s">
        <v>54</v>
      </c>
      <c r="J32" s="4" t="str">
        <f>"5895SB0002742"</f>
        <v>5895SB0002742</v>
      </c>
      <c r="K32" s="4" t="s">
        <v>55</v>
      </c>
      <c r="L32" s="4" t="str">
        <f>""</f>
        <v/>
      </c>
      <c r="M32" s="4" t="str">
        <f>""</f>
        <v/>
      </c>
      <c r="N32" s="4" t="s">
        <v>34</v>
      </c>
      <c r="O32" s="3"/>
      <c r="P32" s="3"/>
      <c r="Q32" s="3"/>
      <c r="R32" s="4" t="s">
        <v>35</v>
      </c>
      <c r="S32" s="3"/>
      <c r="T32" s="4" t="str">
        <f>"174991-22"</f>
        <v>174991-22</v>
      </c>
      <c r="U32" s="4" t="str">
        <f>"01-117025"</f>
        <v>01-117025</v>
      </c>
      <c r="V32" s="4" t="str">
        <f>"1480933"</f>
        <v>1480933</v>
      </c>
      <c r="W32" s="4" t="s">
        <v>36</v>
      </c>
      <c r="X32" s="4" t="str">
        <f>"33592"</f>
        <v>33592</v>
      </c>
      <c r="Y32" s="4" t="str">
        <f>"174991-22"</f>
        <v>174991-22</v>
      </c>
      <c r="Z32" s="4" t="str">
        <f>""</f>
        <v/>
      </c>
      <c r="AA32" s="4" t="str">
        <f>""</f>
        <v/>
      </c>
      <c r="AB32" s="5">
        <v>43465</v>
      </c>
      <c r="AC32" s="4">
        <v>0</v>
      </c>
    </row>
    <row r="33" spans="1:29" ht="14.45" customHeight="1" x14ac:dyDescent="0.25">
      <c r="A33" s="4" t="s">
        <v>25</v>
      </c>
      <c r="B33" s="4" t="s">
        <v>26</v>
      </c>
      <c r="C33" s="4" t="s">
        <v>27</v>
      </c>
      <c r="D33" s="4" t="s">
        <v>28</v>
      </c>
      <c r="E33" s="4" t="s">
        <v>26</v>
      </c>
      <c r="F33" s="4" t="s">
        <v>318</v>
      </c>
      <c r="G33" s="4" t="s">
        <v>318</v>
      </c>
      <c r="H33" s="4" t="s">
        <v>319</v>
      </c>
      <c r="I33" s="4" t="s">
        <v>54</v>
      </c>
      <c r="J33" s="4" t="str">
        <f>"5895SB0002742"</f>
        <v>5895SB0002742</v>
      </c>
      <c r="K33" s="4" t="s">
        <v>55</v>
      </c>
      <c r="L33" s="4" t="str">
        <f>""</f>
        <v/>
      </c>
      <c r="M33" s="4" t="str">
        <f>""</f>
        <v/>
      </c>
      <c r="N33" s="4" t="s">
        <v>34</v>
      </c>
      <c r="O33" s="3"/>
      <c r="P33" s="3"/>
      <c r="Q33" s="3"/>
      <c r="R33" s="4" t="s">
        <v>35</v>
      </c>
      <c r="S33" s="3"/>
      <c r="T33" s="4" t="str">
        <f>"174991-22"</f>
        <v>174991-22</v>
      </c>
      <c r="U33" s="4" t="str">
        <f>"NCIA12008725"</f>
        <v>NCIA12008725</v>
      </c>
      <c r="V33" s="4" t="str">
        <f>"2077696"</f>
        <v>2077696</v>
      </c>
      <c r="W33" s="4" t="s">
        <v>36</v>
      </c>
      <c r="X33" s="4" t="str">
        <f>"33592"</f>
        <v>33592</v>
      </c>
      <c r="Y33" s="4" t="str">
        <f>"208443-87"</f>
        <v>208443-87</v>
      </c>
      <c r="Z33" s="4" t="str">
        <f>""</f>
        <v/>
      </c>
      <c r="AA33" s="4" t="str">
        <f>""</f>
        <v/>
      </c>
      <c r="AB33" s="5">
        <v>43630</v>
      </c>
      <c r="AC33" s="4">
        <v>0</v>
      </c>
    </row>
    <row r="34" spans="1:29" ht="14.45" customHeight="1" x14ac:dyDescent="0.25">
      <c r="A34" s="4" t="s">
        <v>25</v>
      </c>
      <c r="B34" s="4" t="s">
        <v>26</v>
      </c>
      <c r="C34" s="4" t="s">
        <v>27</v>
      </c>
      <c r="D34" s="4" t="s">
        <v>28</v>
      </c>
      <c r="E34" s="4" t="s">
        <v>26</v>
      </c>
      <c r="F34" s="4" t="s">
        <v>318</v>
      </c>
      <c r="G34" s="4" t="s">
        <v>318</v>
      </c>
      <c r="H34" s="4" t="s">
        <v>319</v>
      </c>
      <c r="I34" s="4" t="s">
        <v>54</v>
      </c>
      <c r="J34" s="4" t="str">
        <f>"5895SB0002742"</f>
        <v>5895SB0002742</v>
      </c>
      <c r="K34" s="4" t="s">
        <v>55</v>
      </c>
      <c r="L34" s="4" t="str">
        <f>""</f>
        <v/>
      </c>
      <c r="M34" s="4" t="str">
        <f>""</f>
        <v/>
      </c>
      <c r="N34" s="4" t="s">
        <v>34</v>
      </c>
      <c r="O34" s="3"/>
      <c r="P34" s="3"/>
      <c r="Q34" s="3"/>
      <c r="R34" s="4" t="s">
        <v>35</v>
      </c>
      <c r="S34" s="3"/>
      <c r="T34" s="4" t="str">
        <f>"174991-22"</f>
        <v>174991-22</v>
      </c>
      <c r="U34" s="4" t="str">
        <f>"NCIA12008726"</f>
        <v>NCIA12008726</v>
      </c>
      <c r="V34" s="4" t="str">
        <f>"2077695"</f>
        <v>2077695</v>
      </c>
      <c r="W34" s="4" t="s">
        <v>36</v>
      </c>
      <c r="X34" s="4" t="str">
        <f>"33592"</f>
        <v>33592</v>
      </c>
      <c r="Y34" s="4" t="str">
        <f>"208443-87"</f>
        <v>208443-87</v>
      </c>
      <c r="Z34" s="4" t="str">
        <f>""</f>
        <v/>
      </c>
      <c r="AA34" s="4" t="str">
        <f>""</f>
        <v/>
      </c>
      <c r="AB34" s="5">
        <v>43630</v>
      </c>
      <c r="AC34" s="4">
        <v>0</v>
      </c>
    </row>
    <row r="35" spans="1:29" ht="14.45" customHeight="1" x14ac:dyDescent="0.25">
      <c r="A35" s="4" t="s">
        <v>25</v>
      </c>
      <c r="B35" s="4" t="s">
        <v>26</v>
      </c>
      <c r="C35" s="4" t="s">
        <v>27</v>
      </c>
      <c r="D35" s="4" t="s">
        <v>28</v>
      </c>
      <c r="E35" s="4" t="s">
        <v>26</v>
      </c>
      <c r="F35" s="4" t="s">
        <v>318</v>
      </c>
      <c r="G35" s="4" t="s">
        <v>318</v>
      </c>
      <c r="H35" s="4" t="s">
        <v>319</v>
      </c>
      <c r="I35" s="4" t="s">
        <v>56</v>
      </c>
      <c r="J35" s="4" t="str">
        <f>"5895SB0002757"</f>
        <v>5895SB0002757</v>
      </c>
      <c r="K35" s="4" t="s">
        <v>57</v>
      </c>
      <c r="L35" s="4" t="str">
        <f>""</f>
        <v/>
      </c>
      <c r="M35" s="4" t="str">
        <f>""</f>
        <v/>
      </c>
      <c r="N35" s="4" t="s">
        <v>34</v>
      </c>
      <c r="O35" s="3"/>
      <c r="P35" s="3"/>
      <c r="Q35" s="3"/>
      <c r="R35" s="4" t="s">
        <v>35</v>
      </c>
      <c r="S35" s="3"/>
      <c r="T35" s="4" t="str">
        <f>"174992-49"</f>
        <v>174992-49</v>
      </c>
      <c r="U35" s="4" t="str">
        <f>"01-117027"</f>
        <v>01-117027</v>
      </c>
      <c r="V35" s="4" t="str">
        <f>"1467226"</f>
        <v>1467226</v>
      </c>
      <c r="W35" s="4" t="s">
        <v>36</v>
      </c>
      <c r="X35" s="4" t="str">
        <f>"02MQ7"</f>
        <v>02MQ7</v>
      </c>
      <c r="Y35" s="4" t="str">
        <f>"174992-49"</f>
        <v>174992-49</v>
      </c>
      <c r="Z35" s="4" t="str">
        <f>""</f>
        <v/>
      </c>
      <c r="AA35" s="4" t="str">
        <f>""</f>
        <v/>
      </c>
      <c r="AB35" s="5">
        <v>43465</v>
      </c>
      <c r="AC35" s="4">
        <v>0</v>
      </c>
    </row>
    <row r="36" spans="1:29" ht="14.45" customHeight="1" x14ac:dyDescent="0.25">
      <c r="A36" s="4" t="s">
        <v>25</v>
      </c>
      <c r="B36" s="4" t="s">
        <v>26</v>
      </c>
      <c r="C36" s="4" t="s">
        <v>27</v>
      </c>
      <c r="D36" s="4" t="s">
        <v>28</v>
      </c>
      <c r="E36" s="4" t="s">
        <v>26</v>
      </c>
      <c r="F36" s="4" t="s">
        <v>318</v>
      </c>
      <c r="G36" s="4" t="s">
        <v>318</v>
      </c>
      <c r="H36" s="4" t="s">
        <v>319</v>
      </c>
      <c r="I36" s="4" t="s">
        <v>56</v>
      </c>
      <c r="J36" s="4" t="str">
        <f>"5895SB0002757"</f>
        <v>5895SB0002757</v>
      </c>
      <c r="K36" s="4" t="s">
        <v>57</v>
      </c>
      <c r="L36" s="4" t="str">
        <f>""</f>
        <v/>
      </c>
      <c r="M36" s="4" t="str">
        <f>""</f>
        <v/>
      </c>
      <c r="N36" s="4" t="s">
        <v>34</v>
      </c>
      <c r="O36" s="3"/>
      <c r="P36" s="3"/>
      <c r="Q36" s="3"/>
      <c r="R36" s="4" t="s">
        <v>35</v>
      </c>
      <c r="S36" s="3"/>
      <c r="T36" s="4" t="str">
        <f>"174992-49"</f>
        <v>174992-49</v>
      </c>
      <c r="U36" s="4" t="str">
        <f>"01-117028"</f>
        <v>01-117028</v>
      </c>
      <c r="V36" s="4" t="str">
        <f>"1826123"</f>
        <v>1826123</v>
      </c>
      <c r="W36" s="4" t="s">
        <v>36</v>
      </c>
      <c r="X36" s="4" t="str">
        <f>"02MQ7"</f>
        <v>02MQ7</v>
      </c>
      <c r="Y36" s="4" t="str">
        <f>"174992-49"</f>
        <v>174992-49</v>
      </c>
      <c r="Z36" s="4" t="str">
        <f>""</f>
        <v/>
      </c>
      <c r="AA36" s="4" t="str">
        <f>""</f>
        <v/>
      </c>
      <c r="AB36" s="5">
        <v>43465</v>
      </c>
      <c r="AC36" s="4">
        <v>0</v>
      </c>
    </row>
    <row r="37" spans="1:29" ht="14.45" customHeight="1" x14ac:dyDescent="0.25">
      <c r="A37" s="4" t="s">
        <v>25</v>
      </c>
      <c r="B37" s="4" t="s">
        <v>26</v>
      </c>
      <c r="C37" s="4" t="s">
        <v>27</v>
      </c>
      <c r="D37" s="4" t="s">
        <v>28</v>
      </c>
      <c r="E37" s="4" t="s">
        <v>26</v>
      </c>
      <c r="F37" s="4" t="s">
        <v>318</v>
      </c>
      <c r="G37" s="4" t="s">
        <v>318</v>
      </c>
      <c r="H37" s="4" t="s">
        <v>319</v>
      </c>
      <c r="I37" s="4" t="s">
        <v>56</v>
      </c>
      <c r="J37" s="4" t="str">
        <f>"5895SB0002757"</f>
        <v>5895SB0002757</v>
      </c>
      <c r="K37" s="4" t="s">
        <v>57</v>
      </c>
      <c r="L37" s="4" t="str">
        <f>""</f>
        <v/>
      </c>
      <c r="M37" s="4" t="str">
        <f>""</f>
        <v/>
      </c>
      <c r="N37" s="4" t="s">
        <v>34</v>
      </c>
      <c r="O37" s="3"/>
      <c r="P37" s="3"/>
      <c r="Q37" s="3"/>
      <c r="R37" s="4" t="s">
        <v>35</v>
      </c>
      <c r="S37" s="3"/>
      <c r="T37" s="4" t="str">
        <f>"174992-49"</f>
        <v>174992-49</v>
      </c>
      <c r="U37" s="4" t="str">
        <f>"NCIA12008723"</f>
        <v>NCIA12008723</v>
      </c>
      <c r="V37" s="4" t="str">
        <f>"2076521"</f>
        <v>2076521</v>
      </c>
      <c r="W37" s="4" t="s">
        <v>36</v>
      </c>
      <c r="X37" s="4" t="str">
        <f>"02MQ7"</f>
        <v>02MQ7</v>
      </c>
      <c r="Y37" s="4" t="str">
        <f>"205578-134"</f>
        <v>205578-134</v>
      </c>
      <c r="Z37" s="4" t="str">
        <f>""</f>
        <v/>
      </c>
      <c r="AA37" s="4" t="str">
        <f>""</f>
        <v/>
      </c>
      <c r="AB37" s="5">
        <v>43630</v>
      </c>
      <c r="AC37" s="4">
        <v>0</v>
      </c>
    </row>
    <row r="38" spans="1:29" ht="14.45" customHeight="1" x14ac:dyDescent="0.25">
      <c r="A38" s="4" t="s">
        <v>25</v>
      </c>
      <c r="B38" s="4" t="s">
        <v>26</v>
      </c>
      <c r="C38" s="4" t="s">
        <v>27</v>
      </c>
      <c r="D38" s="4" t="s">
        <v>28</v>
      </c>
      <c r="E38" s="4" t="s">
        <v>26</v>
      </c>
      <c r="F38" s="4" t="s">
        <v>318</v>
      </c>
      <c r="G38" s="4" t="s">
        <v>318</v>
      </c>
      <c r="H38" s="4" t="s">
        <v>319</v>
      </c>
      <c r="I38" s="4" t="s">
        <v>56</v>
      </c>
      <c r="J38" s="4" t="str">
        <f>"5895SB0002757"</f>
        <v>5895SB0002757</v>
      </c>
      <c r="K38" s="4" t="s">
        <v>57</v>
      </c>
      <c r="L38" s="4" t="str">
        <f>""</f>
        <v/>
      </c>
      <c r="M38" s="4" t="str">
        <f>""</f>
        <v/>
      </c>
      <c r="N38" s="4" t="s">
        <v>34</v>
      </c>
      <c r="O38" s="3"/>
      <c r="P38" s="3"/>
      <c r="Q38" s="3"/>
      <c r="R38" s="4" t="s">
        <v>35</v>
      </c>
      <c r="S38" s="3"/>
      <c r="T38" s="4" t="str">
        <f>"174992-49"</f>
        <v>174992-49</v>
      </c>
      <c r="U38" s="4" t="str">
        <f>"NCIA12008724"</f>
        <v>NCIA12008724</v>
      </c>
      <c r="V38" s="4" t="str">
        <f>"2076522"</f>
        <v>2076522</v>
      </c>
      <c r="W38" s="4" t="s">
        <v>36</v>
      </c>
      <c r="X38" s="4" t="str">
        <f>"02MQ7"</f>
        <v>02MQ7</v>
      </c>
      <c r="Y38" s="4" t="str">
        <f>"205578-134"</f>
        <v>205578-134</v>
      </c>
      <c r="Z38" s="4" t="str">
        <f>""</f>
        <v/>
      </c>
      <c r="AA38" s="4" t="str">
        <f>""</f>
        <v/>
      </c>
      <c r="AB38" s="5">
        <v>43630</v>
      </c>
      <c r="AC38" s="4">
        <v>0</v>
      </c>
    </row>
    <row r="39" spans="1:29" ht="14.45" customHeight="1" x14ac:dyDescent="0.25">
      <c r="A39" s="4" t="s">
        <v>25</v>
      </c>
      <c r="B39" s="4" t="s">
        <v>26</v>
      </c>
      <c r="C39" s="4" t="s">
        <v>27</v>
      </c>
      <c r="D39" s="4" t="s">
        <v>28</v>
      </c>
      <c r="E39" s="4" t="s">
        <v>26</v>
      </c>
      <c r="F39" s="4" t="s">
        <v>318</v>
      </c>
      <c r="G39" s="4" t="s">
        <v>318</v>
      </c>
      <c r="H39" s="4" t="s">
        <v>319</v>
      </c>
      <c r="I39" s="4" t="s">
        <v>167</v>
      </c>
      <c r="J39" s="4" t="str">
        <f>"5895SB0002983"</f>
        <v>5895SB0002983</v>
      </c>
      <c r="K39" s="4" t="s">
        <v>168</v>
      </c>
      <c r="L39" s="4" t="str">
        <f>""</f>
        <v/>
      </c>
      <c r="M39" s="4" t="str">
        <f>""</f>
        <v/>
      </c>
      <c r="N39" s="4" t="s">
        <v>34</v>
      </c>
      <c r="O39" s="3"/>
      <c r="P39" s="3"/>
      <c r="Q39" s="3"/>
      <c r="R39" s="4" t="s">
        <v>35</v>
      </c>
      <c r="S39" s="3"/>
      <c r="T39" s="4" t="str">
        <f>"12721-500"</f>
        <v>12721-500</v>
      </c>
      <c r="U39" s="4" t="str">
        <f>"01-117013"</f>
        <v>01-117013</v>
      </c>
      <c r="V39" s="4" t="str">
        <f>"12721-01"</f>
        <v>12721-01</v>
      </c>
      <c r="W39" s="4" t="s">
        <v>36</v>
      </c>
      <c r="X39" s="4" t="str">
        <f>"53263"</f>
        <v>53263</v>
      </c>
      <c r="Y39" s="4" t="str">
        <f>"12721-500"</f>
        <v>12721-500</v>
      </c>
      <c r="Z39" s="4" t="str">
        <f>""</f>
        <v/>
      </c>
      <c r="AA39" s="4" t="str">
        <f>""</f>
        <v/>
      </c>
      <c r="AB39" s="5">
        <v>43465</v>
      </c>
      <c r="AC39" s="4">
        <v>0</v>
      </c>
    </row>
    <row r="40" spans="1:29" ht="14.45" customHeight="1" x14ac:dyDescent="0.25">
      <c r="A40" s="4" t="s">
        <v>25</v>
      </c>
      <c r="B40" s="4" t="s">
        <v>26</v>
      </c>
      <c r="C40" s="4" t="s">
        <v>27</v>
      </c>
      <c r="D40" s="4" t="s">
        <v>28</v>
      </c>
      <c r="E40" s="4" t="s">
        <v>26</v>
      </c>
      <c r="F40" s="4" t="s">
        <v>318</v>
      </c>
      <c r="G40" s="4" t="s">
        <v>318</v>
      </c>
      <c r="H40" s="4" t="s">
        <v>319</v>
      </c>
      <c r="I40" s="4" t="s">
        <v>59</v>
      </c>
      <c r="J40" s="4" t="str">
        <f>"5895SB0003531"</f>
        <v>5895SB0003531</v>
      </c>
      <c r="K40" s="4" t="s">
        <v>60</v>
      </c>
      <c r="L40" s="4" t="str">
        <f>""</f>
        <v/>
      </c>
      <c r="M40" s="4" t="str">
        <f>""</f>
        <v/>
      </c>
      <c r="N40" s="4" t="s">
        <v>34</v>
      </c>
      <c r="O40" s="3"/>
      <c r="P40" s="3"/>
      <c r="Q40" s="3"/>
      <c r="R40" s="4" t="s">
        <v>35</v>
      </c>
      <c r="S40" s="3"/>
      <c r="T40" s="4" t="str">
        <f>"5985015209792"</f>
        <v>5985015209792</v>
      </c>
      <c r="U40" s="4" t="str">
        <f>"01-117186"</f>
        <v>01-117186</v>
      </c>
      <c r="V40" s="4" t="str">
        <f>"655"</f>
        <v>655</v>
      </c>
      <c r="W40" s="4" t="s">
        <v>36</v>
      </c>
      <c r="X40" s="4" t="str">
        <f>"02MQ7"</f>
        <v>02MQ7</v>
      </c>
      <c r="Y40" s="4" t="str">
        <f>"99-261-3004-03"</f>
        <v>99-261-3004-03</v>
      </c>
      <c r="Z40" s="4" t="str">
        <f>""</f>
        <v/>
      </c>
      <c r="AA40" s="4" t="str">
        <f>""</f>
        <v/>
      </c>
      <c r="AB40" s="5">
        <v>43465</v>
      </c>
      <c r="AC40" s="4">
        <v>0</v>
      </c>
    </row>
    <row r="41" spans="1:29" ht="14.45" customHeight="1" x14ac:dyDescent="0.25">
      <c r="A41" s="4" t="s">
        <v>25</v>
      </c>
      <c r="B41" s="4" t="s">
        <v>26</v>
      </c>
      <c r="C41" s="4" t="s">
        <v>27</v>
      </c>
      <c r="D41" s="4" t="s">
        <v>28</v>
      </c>
      <c r="E41" s="4" t="s">
        <v>26</v>
      </c>
      <c r="F41" s="4" t="s">
        <v>318</v>
      </c>
      <c r="G41" s="4" t="s">
        <v>318</v>
      </c>
      <c r="H41" s="4" t="s">
        <v>319</v>
      </c>
      <c r="I41" s="4" t="s">
        <v>61</v>
      </c>
      <c r="J41" s="4" t="str">
        <f>"5895SB0003672"</f>
        <v>5895SB0003672</v>
      </c>
      <c r="K41" s="4" t="s">
        <v>62</v>
      </c>
      <c r="L41" s="4" t="str">
        <f>""</f>
        <v/>
      </c>
      <c r="M41" s="4" t="str">
        <f>""</f>
        <v/>
      </c>
      <c r="N41" s="4" t="s">
        <v>34</v>
      </c>
      <c r="O41" s="3"/>
      <c r="P41" s="3"/>
      <c r="Q41" s="3"/>
      <c r="R41" s="4" t="s">
        <v>35</v>
      </c>
      <c r="S41" s="3"/>
      <c r="T41" s="4" t="str">
        <f>"5895015774999"</f>
        <v>5895015774999</v>
      </c>
      <c r="U41" s="4" t="str">
        <f>"01-117023"</f>
        <v>01-117023</v>
      </c>
      <c r="V41" s="4" t="str">
        <f>"1462682"</f>
        <v>1462682</v>
      </c>
      <c r="W41" s="4" t="s">
        <v>36</v>
      </c>
      <c r="X41" s="4" t="str">
        <f>"33592"</f>
        <v>33592</v>
      </c>
      <c r="Y41" s="4" t="str">
        <f>"161105-1"</f>
        <v>161105-1</v>
      </c>
      <c r="Z41" s="4" t="str">
        <f>""</f>
        <v/>
      </c>
      <c r="AA41" s="4" t="str">
        <f>""</f>
        <v/>
      </c>
      <c r="AB41" s="5">
        <v>43465</v>
      </c>
      <c r="AC41" s="4">
        <v>0</v>
      </c>
    </row>
    <row r="42" spans="1:29" ht="14.45" customHeight="1" x14ac:dyDescent="0.25">
      <c r="A42" s="4" t="s">
        <v>25</v>
      </c>
      <c r="B42" s="4" t="s">
        <v>26</v>
      </c>
      <c r="C42" s="4" t="s">
        <v>27</v>
      </c>
      <c r="D42" s="4" t="s">
        <v>28</v>
      </c>
      <c r="E42" s="4" t="s">
        <v>26</v>
      </c>
      <c r="F42" s="4" t="s">
        <v>318</v>
      </c>
      <c r="G42" s="4" t="s">
        <v>318</v>
      </c>
      <c r="H42" s="4" t="s">
        <v>319</v>
      </c>
      <c r="I42" s="4" t="s">
        <v>61</v>
      </c>
      <c r="J42" s="4" t="str">
        <f>"5895SB0003672"</f>
        <v>5895SB0003672</v>
      </c>
      <c r="K42" s="4" t="s">
        <v>62</v>
      </c>
      <c r="L42" s="4" t="str">
        <f>""</f>
        <v/>
      </c>
      <c r="M42" s="4" t="str">
        <f>""</f>
        <v/>
      </c>
      <c r="N42" s="4" t="s">
        <v>34</v>
      </c>
      <c r="O42" s="3"/>
      <c r="P42" s="3"/>
      <c r="Q42" s="3"/>
      <c r="R42" s="4" t="s">
        <v>35</v>
      </c>
      <c r="S42" s="3"/>
      <c r="T42" s="4" t="str">
        <f>"5895015774999"</f>
        <v>5895015774999</v>
      </c>
      <c r="U42" s="4" t="str">
        <f>"01-117024"</f>
        <v>01-117024</v>
      </c>
      <c r="V42" s="4" t="str">
        <f>"1471399"</f>
        <v>1471399</v>
      </c>
      <c r="W42" s="4" t="s">
        <v>36</v>
      </c>
      <c r="X42" s="4" t="str">
        <f>"33592"</f>
        <v>33592</v>
      </c>
      <c r="Y42" s="4" t="str">
        <f>"161105-1"</f>
        <v>161105-1</v>
      </c>
      <c r="Z42" s="4" t="str">
        <f>""</f>
        <v/>
      </c>
      <c r="AA42" s="4" t="str">
        <f>""</f>
        <v/>
      </c>
      <c r="AB42" s="5">
        <v>43465</v>
      </c>
      <c r="AC42" s="4">
        <v>0</v>
      </c>
    </row>
    <row r="43" spans="1:29" ht="14.45" customHeight="1" x14ac:dyDescent="0.25">
      <c r="A43" s="4" t="s">
        <v>25</v>
      </c>
      <c r="B43" s="4" t="s">
        <v>26</v>
      </c>
      <c r="C43" s="4" t="s">
        <v>27</v>
      </c>
      <c r="D43" s="4" t="s">
        <v>28</v>
      </c>
      <c r="E43" s="4" t="s">
        <v>26</v>
      </c>
      <c r="F43" s="4" t="s">
        <v>318</v>
      </c>
      <c r="G43" s="4" t="s">
        <v>318</v>
      </c>
      <c r="H43" s="4" t="s">
        <v>319</v>
      </c>
      <c r="I43" s="4" t="s">
        <v>61</v>
      </c>
      <c r="J43" s="4" t="str">
        <f>"5895SB0003672"</f>
        <v>5895SB0003672</v>
      </c>
      <c r="K43" s="4" t="s">
        <v>62</v>
      </c>
      <c r="L43" s="4" t="str">
        <f>""</f>
        <v/>
      </c>
      <c r="M43" s="4" t="str">
        <f>""</f>
        <v/>
      </c>
      <c r="N43" s="4" t="s">
        <v>34</v>
      </c>
      <c r="O43" s="3"/>
      <c r="P43" s="3"/>
      <c r="Q43" s="3"/>
      <c r="R43" s="4" t="s">
        <v>35</v>
      </c>
      <c r="S43" s="3"/>
      <c r="T43" s="4" t="str">
        <f>"5895015774999"</f>
        <v>5895015774999</v>
      </c>
      <c r="U43" s="4" t="str">
        <f>"NCIA12010579"</f>
        <v>NCIA12010579</v>
      </c>
      <c r="V43" s="4" t="str">
        <f>"2076922"</f>
        <v>2076922</v>
      </c>
      <c r="W43" s="4" t="s">
        <v>36</v>
      </c>
      <c r="X43" s="4" t="str">
        <f>"02MQ7"</f>
        <v>02MQ7</v>
      </c>
      <c r="Y43" s="4" t="str">
        <f>"161105-1"</f>
        <v>161105-1</v>
      </c>
      <c r="Z43" s="4" t="str">
        <f>""</f>
        <v/>
      </c>
      <c r="AA43" s="4" t="str">
        <f>""</f>
        <v/>
      </c>
      <c r="AB43" s="5">
        <v>43670</v>
      </c>
      <c r="AC43" s="4">
        <v>0</v>
      </c>
    </row>
    <row r="44" spans="1:29" ht="14.45" customHeight="1" x14ac:dyDescent="0.25">
      <c r="A44" s="4" t="s">
        <v>25</v>
      </c>
      <c r="B44" s="4" t="s">
        <v>26</v>
      </c>
      <c r="C44" s="4" t="s">
        <v>27</v>
      </c>
      <c r="D44" s="4" t="s">
        <v>28</v>
      </c>
      <c r="E44" s="4" t="s">
        <v>26</v>
      </c>
      <c r="F44" s="4" t="s">
        <v>318</v>
      </c>
      <c r="G44" s="4" t="s">
        <v>318</v>
      </c>
      <c r="H44" s="4" t="s">
        <v>319</v>
      </c>
      <c r="I44" s="4" t="s">
        <v>61</v>
      </c>
      <c r="J44" s="4" t="str">
        <f>"5895SB0003672"</f>
        <v>5895SB0003672</v>
      </c>
      <c r="K44" s="4" t="s">
        <v>62</v>
      </c>
      <c r="L44" s="4" t="str">
        <f>""</f>
        <v/>
      </c>
      <c r="M44" s="4" t="str">
        <f>""</f>
        <v/>
      </c>
      <c r="N44" s="4" t="s">
        <v>34</v>
      </c>
      <c r="O44" s="3"/>
      <c r="P44" s="3"/>
      <c r="Q44" s="3"/>
      <c r="R44" s="4" t="s">
        <v>35</v>
      </c>
      <c r="S44" s="3"/>
      <c r="T44" s="4" t="str">
        <f>"5895015774999"</f>
        <v>5895015774999</v>
      </c>
      <c r="U44" s="4" t="str">
        <f>"NCIA12010580"</f>
        <v>NCIA12010580</v>
      </c>
      <c r="V44" s="4" t="str">
        <f>"2076251"</f>
        <v>2076251</v>
      </c>
      <c r="W44" s="4" t="s">
        <v>36</v>
      </c>
      <c r="X44" s="4" t="str">
        <f>"02MQ7"</f>
        <v>02MQ7</v>
      </c>
      <c r="Y44" s="4" t="str">
        <f>"161105-1"</f>
        <v>161105-1</v>
      </c>
      <c r="Z44" s="4" t="str">
        <f>""</f>
        <v/>
      </c>
      <c r="AA44" s="4" t="str">
        <f>""</f>
        <v/>
      </c>
      <c r="AB44" s="5">
        <v>43670</v>
      </c>
      <c r="AC44" s="4">
        <v>0</v>
      </c>
    </row>
    <row r="45" spans="1:29" ht="14.45" customHeight="1" x14ac:dyDescent="0.25">
      <c r="A45" s="4" t="s">
        <v>25</v>
      </c>
      <c r="B45" s="4" t="s">
        <v>26</v>
      </c>
      <c r="C45" s="4" t="s">
        <v>27</v>
      </c>
      <c r="D45" s="4" t="s">
        <v>28</v>
      </c>
      <c r="E45" s="4" t="s">
        <v>26</v>
      </c>
      <c r="F45" s="4" t="s">
        <v>318</v>
      </c>
      <c r="G45" s="4" t="s">
        <v>318</v>
      </c>
      <c r="H45" s="4" t="s">
        <v>319</v>
      </c>
      <c r="I45" s="4" t="s">
        <v>63</v>
      </c>
      <c r="J45" s="4" t="str">
        <f>"5895SB0003809"</f>
        <v>5895SB0003809</v>
      </c>
      <c r="K45" s="4" t="s">
        <v>64</v>
      </c>
      <c r="L45" s="4" t="str">
        <f>""</f>
        <v/>
      </c>
      <c r="M45" s="4" t="str">
        <f>""</f>
        <v/>
      </c>
      <c r="N45" s="4" t="s">
        <v>34</v>
      </c>
      <c r="O45" s="3"/>
      <c r="P45" s="3"/>
      <c r="Q45" s="3"/>
      <c r="R45" s="4" t="s">
        <v>35</v>
      </c>
      <c r="S45" s="3"/>
      <c r="T45" s="4" t="str">
        <f>"5895145734091"</f>
        <v>5895145734091</v>
      </c>
      <c r="U45" s="4" t="str">
        <f>"NCIA10397835"</f>
        <v>NCIA10397835</v>
      </c>
      <c r="V45" s="4" t="str">
        <f>"061"</f>
        <v>061</v>
      </c>
      <c r="W45" s="4" t="s">
        <v>36</v>
      </c>
      <c r="X45" s="4" t="str">
        <f>"F0057"</f>
        <v>F0057</v>
      </c>
      <c r="Y45" s="4" t="str">
        <f>"62778856AA"</f>
        <v>62778856AA</v>
      </c>
      <c r="Z45" s="4" t="str">
        <f>""</f>
        <v/>
      </c>
      <c r="AA45" s="4" t="str">
        <f>""</f>
        <v/>
      </c>
      <c r="AB45" s="5">
        <v>43465</v>
      </c>
      <c r="AC45" s="4">
        <v>0</v>
      </c>
    </row>
    <row r="46" spans="1:29" ht="14.45" customHeight="1" x14ac:dyDescent="0.25">
      <c r="A46" s="4" t="s">
        <v>25</v>
      </c>
      <c r="B46" s="4" t="s">
        <v>26</v>
      </c>
      <c r="C46" s="4" t="s">
        <v>27</v>
      </c>
      <c r="D46" s="4" t="s">
        <v>28</v>
      </c>
      <c r="E46" s="4" t="s">
        <v>26</v>
      </c>
      <c r="F46" s="4" t="s">
        <v>318</v>
      </c>
      <c r="G46" s="4" t="s">
        <v>318</v>
      </c>
      <c r="H46" s="4" t="s">
        <v>319</v>
      </c>
      <c r="I46" s="4" t="s">
        <v>63</v>
      </c>
      <c r="J46" s="4" t="str">
        <f>"5895SB0003809"</f>
        <v>5895SB0003809</v>
      </c>
      <c r="K46" s="4" t="s">
        <v>64</v>
      </c>
      <c r="L46" s="4" t="str">
        <f>""</f>
        <v/>
      </c>
      <c r="M46" s="4" t="str">
        <f>""</f>
        <v/>
      </c>
      <c r="N46" s="4" t="s">
        <v>34</v>
      </c>
      <c r="O46" s="3"/>
      <c r="P46" s="3"/>
      <c r="Q46" s="3"/>
      <c r="R46" s="4" t="s">
        <v>35</v>
      </c>
      <c r="S46" s="3"/>
      <c r="T46" s="4" t="str">
        <f>"5895145734091"</f>
        <v>5895145734091</v>
      </c>
      <c r="U46" s="4" t="str">
        <f>"NCIA10397838"</f>
        <v>NCIA10397838</v>
      </c>
      <c r="V46" s="4" t="str">
        <f>"064"</f>
        <v>064</v>
      </c>
      <c r="W46" s="4" t="s">
        <v>36</v>
      </c>
      <c r="X46" s="4" t="str">
        <f>"F0057"</f>
        <v>F0057</v>
      </c>
      <c r="Y46" s="4" t="str">
        <f>"62778856AA"</f>
        <v>62778856AA</v>
      </c>
      <c r="Z46" s="4" t="str">
        <f>""</f>
        <v/>
      </c>
      <c r="AA46" s="4" t="str">
        <f>""</f>
        <v/>
      </c>
      <c r="AB46" s="5">
        <v>43465</v>
      </c>
      <c r="AC46" s="4">
        <v>0</v>
      </c>
    </row>
    <row r="47" spans="1:29" ht="14.45" customHeight="1" x14ac:dyDescent="0.25">
      <c r="A47" s="4" t="s">
        <v>25</v>
      </c>
      <c r="B47" s="4" t="s">
        <v>26</v>
      </c>
      <c r="C47" s="4" t="s">
        <v>27</v>
      </c>
      <c r="D47" s="4" t="s">
        <v>28</v>
      </c>
      <c r="E47" s="4" t="s">
        <v>26</v>
      </c>
      <c r="F47" s="4" t="s">
        <v>318</v>
      </c>
      <c r="G47" s="4" t="s">
        <v>318</v>
      </c>
      <c r="H47" s="4" t="s">
        <v>319</v>
      </c>
      <c r="I47" s="4" t="s">
        <v>63</v>
      </c>
      <c r="J47" s="4" t="str">
        <f>"5895SB0003809"</f>
        <v>5895SB0003809</v>
      </c>
      <c r="K47" s="4" t="s">
        <v>64</v>
      </c>
      <c r="L47" s="4" t="str">
        <f>""</f>
        <v/>
      </c>
      <c r="M47" s="4" t="str">
        <f>""</f>
        <v/>
      </c>
      <c r="N47" s="4" t="s">
        <v>34</v>
      </c>
      <c r="O47" s="3"/>
      <c r="P47" s="3"/>
      <c r="Q47" s="3"/>
      <c r="R47" s="4" t="s">
        <v>35</v>
      </c>
      <c r="S47" s="3"/>
      <c r="T47" s="4" t="str">
        <f>"5895145734091"</f>
        <v>5895145734091</v>
      </c>
      <c r="U47" s="4" t="str">
        <f>"NCIA10397839"</f>
        <v>NCIA10397839</v>
      </c>
      <c r="V47" s="4" t="str">
        <f>"065"</f>
        <v>065</v>
      </c>
      <c r="W47" s="4" t="s">
        <v>36</v>
      </c>
      <c r="X47" s="4" t="str">
        <f>"F0057"</f>
        <v>F0057</v>
      </c>
      <c r="Y47" s="4" t="str">
        <f>"62778856AA"</f>
        <v>62778856AA</v>
      </c>
      <c r="Z47" s="4" t="str">
        <f>""</f>
        <v/>
      </c>
      <c r="AA47" s="4" t="str">
        <f>""</f>
        <v/>
      </c>
      <c r="AB47" s="5">
        <v>43465</v>
      </c>
      <c r="AC47" s="4">
        <v>0</v>
      </c>
    </row>
    <row r="48" spans="1:29" ht="14.45" customHeight="1" x14ac:dyDescent="0.25">
      <c r="A48" s="4" t="s">
        <v>25</v>
      </c>
      <c r="B48" s="4" t="s">
        <v>26</v>
      </c>
      <c r="C48" s="4" t="s">
        <v>27</v>
      </c>
      <c r="D48" s="4" t="s">
        <v>28</v>
      </c>
      <c r="E48" s="4" t="s">
        <v>26</v>
      </c>
      <c r="F48" s="4" t="s">
        <v>318</v>
      </c>
      <c r="G48" s="4" t="s">
        <v>318</v>
      </c>
      <c r="H48" s="4" t="s">
        <v>321</v>
      </c>
      <c r="I48" s="4" t="s">
        <v>63</v>
      </c>
      <c r="J48" s="4" t="str">
        <f>"5895SB0003809"</f>
        <v>5895SB0003809</v>
      </c>
      <c r="K48" s="4" t="s">
        <v>64</v>
      </c>
      <c r="L48" s="4" t="str">
        <f>""</f>
        <v/>
      </c>
      <c r="M48" s="4" t="str">
        <f>""</f>
        <v/>
      </c>
      <c r="N48" s="4" t="s">
        <v>34</v>
      </c>
      <c r="O48" s="3"/>
      <c r="P48" s="3"/>
      <c r="Q48" s="3"/>
      <c r="R48" s="4" t="s">
        <v>35</v>
      </c>
      <c r="S48" s="3"/>
      <c r="T48" s="4" t="str">
        <f>"5895145734091"</f>
        <v>5895145734091</v>
      </c>
      <c r="U48" s="4" t="str">
        <f>"NCIA10402811"</f>
        <v>NCIA10402811</v>
      </c>
      <c r="V48" s="4" t="str">
        <f>"62778856.000057"</f>
        <v>62778856.000057</v>
      </c>
      <c r="W48" s="4" t="s">
        <v>36</v>
      </c>
      <c r="X48" s="4" t="str">
        <f>"F0057"</f>
        <v>F0057</v>
      </c>
      <c r="Y48" s="4" t="str">
        <f>"62778856AA"</f>
        <v>62778856AA</v>
      </c>
      <c r="Z48" s="4" t="str">
        <f>""</f>
        <v/>
      </c>
      <c r="AA48" s="4" t="str">
        <f>""</f>
        <v/>
      </c>
      <c r="AB48" s="5">
        <v>43465</v>
      </c>
      <c r="AC48" s="4">
        <v>0</v>
      </c>
    </row>
    <row r="49" spans="1:29" ht="14.45" customHeight="1" x14ac:dyDescent="0.25">
      <c r="A49" s="4" t="s">
        <v>25</v>
      </c>
      <c r="B49" s="4" t="s">
        <v>26</v>
      </c>
      <c r="C49" s="4" t="s">
        <v>27</v>
      </c>
      <c r="D49" s="4" t="s">
        <v>28</v>
      </c>
      <c r="E49" s="4" t="s">
        <v>26</v>
      </c>
      <c r="F49" s="4" t="s">
        <v>318</v>
      </c>
      <c r="G49" s="4" t="s">
        <v>318</v>
      </c>
      <c r="H49" s="4" t="s">
        <v>319</v>
      </c>
      <c r="I49" s="4" t="s">
        <v>66</v>
      </c>
      <c r="J49" s="4" t="str">
        <f>"5895SB0016928"</f>
        <v>5895SB0016928</v>
      </c>
      <c r="K49" s="4" t="s">
        <v>67</v>
      </c>
      <c r="L49" s="4" t="str">
        <f>""</f>
        <v/>
      </c>
      <c r="M49" s="4" t="str">
        <f>""</f>
        <v/>
      </c>
      <c r="N49" s="4" t="s">
        <v>34</v>
      </c>
      <c r="O49" s="3"/>
      <c r="P49" s="3"/>
      <c r="Q49" s="3"/>
      <c r="R49" s="4" t="s">
        <v>35</v>
      </c>
      <c r="S49" s="3"/>
      <c r="T49" s="4" t="str">
        <f>"10537-05028"</f>
        <v>10537-05028</v>
      </c>
      <c r="U49" s="4" t="str">
        <f>"01-116999"</f>
        <v>01-116999</v>
      </c>
      <c r="V49" s="4" t="str">
        <f>"TBD"</f>
        <v>TBD</v>
      </c>
      <c r="W49" s="4" t="s">
        <v>36</v>
      </c>
      <c r="X49" s="4" t="str">
        <f>"02MQ7"</f>
        <v>02MQ7</v>
      </c>
      <c r="Y49" s="4" t="str">
        <f>"10537-05028"</f>
        <v>10537-05028</v>
      </c>
      <c r="Z49" s="4" t="str">
        <f>""</f>
        <v/>
      </c>
      <c r="AA49" s="4" t="str">
        <f>""</f>
        <v/>
      </c>
      <c r="AB49" s="5">
        <v>43465</v>
      </c>
      <c r="AC49" s="4">
        <v>0</v>
      </c>
    </row>
    <row r="50" spans="1:29" ht="14.45" customHeight="1" x14ac:dyDescent="0.25">
      <c r="A50" s="4" t="s">
        <v>25</v>
      </c>
      <c r="B50" s="4" t="s">
        <v>26</v>
      </c>
      <c r="C50" s="4" t="s">
        <v>27</v>
      </c>
      <c r="D50" s="4" t="s">
        <v>28</v>
      </c>
      <c r="E50" s="4" t="s">
        <v>26</v>
      </c>
      <c r="F50" s="4" t="s">
        <v>318</v>
      </c>
      <c r="G50" s="4" t="s">
        <v>318</v>
      </c>
      <c r="H50" s="4" t="s">
        <v>319</v>
      </c>
      <c r="I50" s="4" t="s">
        <v>32</v>
      </c>
      <c r="J50" s="4" t="str">
        <f>"5895SB0017643"</f>
        <v>5895SB0017643</v>
      </c>
      <c r="K50" s="4" t="s">
        <v>322</v>
      </c>
      <c r="L50" s="4" t="str">
        <f>""</f>
        <v/>
      </c>
      <c r="M50" s="4" t="str">
        <f>""</f>
        <v/>
      </c>
      <c r="N50" s="4" t="s">
        <v>34</v>
      </c>
      <c r="O50" s="3"/>
      <c r="P50" s="3"/>
      <c r="Q50" s="3"/>
      <c r="R50" s="4" t="s">
        <v>35</v>
      </c>
      <c r="S50" s="3"/>
      <c r="T50" s="4" t="str">
        <f>"10537-05007-002"</f>
        <v>10537-05007-002</v>
      </c>
      <c r="U50" s="4" t="str">
        <f>"03-139680"</f>
        <v>03-139680</v>
      </c>
      <c r="V50" s="4" t="str">
        <f>"1000859"</f>
        <v>1000859</v>
      </c>
      <c r="W50" s="4" t="s">
        <v>36</v>
      </c>
      <c r="X50" s="4" t="str">
        <f>"02MQ7"</f>
        <v>02MQ7</v>
      </c>
      <c r="Y50" s="4" t="str">
        <f>"10537-05007-002"</f>
        <v>10537-05007-002</v>
      </c>
      <c r="Z50" s="4" t="str">
        <f>""</f>
        <v/>
      </c>
      <c r="AA50" s="4" t="str">
        <f>""</f>
        <v/>
      </c>
      <c r="AB50" s="5">
        <v>43465</v>
      </c>
      <c r="AC50" s="4">
        <v>0</v>
      </c>
    </row>
    <row r="51" spans="1:29" ht="14.45" customHeight="1" x14ac:dyDescent="0.25">
      <c r="A51" s="4" t="s">
        <v>25</v>
      </c>
      <c r="B51" s="4" t="s">
        <v>26</v>
      </c>
      <c r="C51" s="4" t="s">
        <v>27</v>
      </c>
      <c r="D51" s="4" t="s">
        <v>28</v>
      </c>
      <c r="E51" s="4" t="s">
        <v>26</v>
      </c>
      <c r="F51" s="4" t="s">
        <v>318</v>
      </c>
      <c r="G51" s="4" t="s">
        <v>318</v>
      </c>
      <c r="H51" s="4" t="s">
        <v>319</v>
      </c>
      <c r="I51" s="4" t="s">
        <v>32</v>
      </c>
      <c r="J51" s="4" t="str">
        <f>"5895SB0017764"</f>
        <v>5895SB0017764</v>
      </c>
      <c r="K51" s="4" t="s">
        <v>269</v>
      </c>
      <c r="L51" s="4" t="str">
        <f>""</f>
        <v/>
      </c>
      <c r="M51" s="4" t="str">
        <f>""</f>
        <v/>
      </c>
      <c r="N51" s="4" t="s">
        <v>34</v>
      </c>
      <c r="O51" s="3"/>
      <c r="P51" s="3"/>
      <c r="Q51" s="3"/>
      <c r="R51" s="4" t="s">
        <v>35</v>
      </c>
      <c r="S51" s="3"/>
      <c r="T51" s="4" t="str">
        <f>"RQ14ECK-VFD-14"</f>
        <v>RQ14ECK-VFD-14</v>
      </c>
      <c r="U51" s="4" t="str">
        <f>"01-117098"</f>
        <v>01-117098</v>
      </c>
      <c r="V51" s="4" t="str">
        <f>"01199753"</f>
        <v>01199753</v>
      </c>
      <c r="W51" s="4" t="s">
        <v>36</v>
      </c>
      <c r="X51" s="4" t="str">
        <f>"0NJ18"</f>
        <v>0NJ18</v>
      </c>
      <c r="Y51" s="4" t="str">
        <f>"RQ14ECK-VFD-14"</f>
        <v>RQ14ECK-VFD-14</v>
      </c>
      <c r="Z51" s="4" t="str">
        <f>""</f>
        <v/>
      </c>
      <c r="AA51" s="4" t="str">
        <f>""</f>
        <v/>
      </c>
      <c r="AB51" s="5">
        <v>43465</v>
      </c>
      <c r="AC51" s="4">
        <v>0</v>
      </c>
    </row>
    <row r="52" spans="1:29" ht="14.45" customHeight="1" x14ac:dyDescent="0.25">
      <c r="A52" s="4" t="s">
        <v>25</v>
      </c>
      <c r="B52" s="4" t="s">
        <v>26</v>
      </c>
      <c r="C52" s="4" t="s">
        <v>27</v>
      </c>
      <c r="D52" s="4" t="s">
        <v>28</v>
      </c>
      <c r="E52" s="4" t="s">
        <v>26</v>
      </c>
      <c r="F52" s="4" t="s">
        <v>318</v>
      </c>
      <c r="G52" s="4" t="s">
        <v>318</v>
      </c>
      <c r="H52" s="4" t="s">
        <v>319</v>
      </c>
      <c r="I52" s="4" t="s">
        <v>32</v>
      </c>
      <c r="J52" s="4" t="str">
        <f>"5895SB0017764"</f>
        <v>5895SB0017764</v>
      </c>
      <c r="K52" s="4" t="s">
        <v>269</v>
      </c>
      <c r="L52" s="4" t="str">
        <f>""</f>
        <v/>
      </c>
      <c r="M52" s="4" t="str">
        <f>""</f>
        <v/>
      </c>
      <c r="N52" s="4" t="s">
        <v>34</v>
      </c>
      <c r="O52" s="3"/>
      <c r="P52" s="3"/>
      <c r="Q52" s="3"/>
      <c r="R52" s="4" t="s">
        <v>35</v>
      </c>
      <c r="S52" s="3"/>
      <c r="T52" s="4" t="str">
        <f>"RQ14ECK-VFD-14"</f>
        <v>RQ14ECK-VFD-14</v>
      </c>
      <c r="U52" s="4" t="str">
        <f>"01-117099"</f>
        <v>01-117099</v>
      </c>
      <c r="V52" s="4" t="str">
        <f>"01199754"</f>
        <v>01199754</v>
      </c>
      <c r="W52" s="4" t="s">
        <v>36</v>
      </c>
      <c r="X52" s="4" t="str">
        <f>"0NJ18"</f>
        <v>0NJ18</v>
      </c>
      <c r="Y52" s="4" t="str">
        <f>"RQ14ECK-VFD-14"</f>
        <v>RQ14ECK-VFD-14</v>
      </c>
      <c r="Z52" s="4" t="str">
        <f>""</f>
        <v/>
      </c>
      <c r="AA52" s="4" t="str">
        <f>""</f>
        <v/>
      </c>
      <c r="AB52" s="5">
        <v>43465</v>
      </c>
      <c r="AC52" s="4">
        <v>0</v>
      </c>
    </row>
    <row r="53" spans="1:29" ht="14.45" customHeight="1" x14ac:dyDescent="0.25">
      <c r="A53" s="4" t="s">
        <v>25</v>
      </c>
      <c r="B53" s="4" t="s">
        <v>26</v>
      </c>
      <c r="C53" s="4" t="s">
        <v>27</v>
      </c>
      <c r="D53" s="4" t="s">
        <v>28</v>
      </c>
      <c r="E53" s="4" t="s">
        <v>26</v>
      </c>
      <c r="F53" s="4" t="s">
        <v>318</v>
      </c>
      <c r="G53" s="4" t="s">
        <v>318</v>
      </c>
      <c r="H53" s="4" t="s">
        <v>319</v>
      </c>
      <c r="I53" s="4" t="s">
        <v>32</v>
      </c>
      <c r="J53" s="4" t="str">
        <f>"5895SB0017764"</f>
        <v>5895SB0017764</v>
      </c>
      <c r="K53" s="4" t="s">
        <v>269</v>
      </c>
      <c r="L53" s="4" t="str">
        <f>""</f>
        <v/>
      </c>
      <c r="M53" s="4" t="str">
        <f>""</f>
        <v/>
      </c>
      <c r="N53" s="4" t="s">
        <v>34</v>
      </c>
      <c r="O53" s="3"/>
      <c r="P53" s="3"/>
      <c r="Q53" s="3"/>
      <c r="R53" s="4" t="s">
        <v>35</v>
      </c>
      <c r="S53" s="3"/>
      <c r="T53" s="4" t="str">
        <f>"RQ14ECK-VFD-14"</f>
        <v>RQ14ECK-VFD-14</v>
      </c>
      <c r="U53" s="4" t="str">
        <f>"01-117100"</f>
        <v>01-117100</v>
      </c>
      <c r="V53" s="4" t="str">
        <f>"01199755"</f>
        <v>01199755</v>
      </c>
      <c r="W53" s="4" t="s">
        <v>36</v>
      </c>
      <c r="X53" s="4" t="str">
        <f>"0NJ18"</f>
        <v>0NJ18</v>
      </c>
      <c r="Y53" s="4" t="str">
        <f>"RQ14ECK-VFD-14"</f>
        <v>RQ14ECK-VFD-14</v>
      </c>
      <c r="Z53" s="4" t="str">
        <f>""</f>
        <v/>
      </c>
      <c r="AA53" s="4" t="str">
        <f>""</f>
        <v/>
      </c>
      <c r="AB53" s="5">
        <v>43465</v>
      </c>
      <c r="AC53" s="4">
        <v>0</v>
      </c>
    </row>
    <row r="54" spans="1:29" ht="14.45" customHeight="1" x14ac:dyDescent="0.25">
      <c r="A54" s="4" t="s">
        <v>25</v>
      </c>
      <c r="B54" s="4" t="s">
        <v>26</v>
      </c>
      <c r="C54" s="4" t="s">
        <v>27</v>
      </c>
      <c r="D54" s="4" t="s">
        <v>28</v>
      </c>
      <c r="E54" s="4" t="s">
        <v>26</v>
      </c>
      <c r="F54" s="4" t="s">
        <v>318</v>
      </c>
      <c r="G54" s="4" t="s">
        <v>318</v>
      </c>
      <c r="H54" s="4" t="s">
        <v>319</v>
      </c>
      <c r="I54" s="4" t="s">
        <v>95</v>
      </c>
      <c r="J54" s="4" t="str">
        <f>"5895SB0028091"</f>
        <v>5895SB0028091</v>
      </c>
      <c r="K54" s="4" t="s">
        <v>323</v>
      </c>
      <c r="L54" s="4" t="str">
        <f>""</f>
        <v/>
      </c>
      <c r="M54" s="4" t="str">
        <f>""</f>
        <v/>
      </c>
      <c r="N54" s="4" t="s">
        <v>34</v>
      </c>
      <c r="O54" s="3"/>
      <c r="P54" s="3"/>
      <c r="Q54" s="3"/>
      <c r="R54" s="4" t="s">
        <v>35</v>
      </c>
      <c r="S54" s="3"/>
      <c r="T54" s="4" t="str">
        <f>""</f>
        <v/>
      </c>
      <c r="U54" s="4" t="str">
        <f>"NCIA12008720"</f>
        <v>NCIA12008720</v>
      </c>
      <c r="V54" s="4" t="str">
        <f>"700000255"</f>
        <v>700000255</v>
      </c>
      <c r="W54" s="4" t="s">
        <v>36</v>
      </c>
      <c r="X54" s="4" t="str">
        <f>"02MQ7"</f>
        <v>02MQ7</v>
      </c>
      <c r="Y54" s="4" t="str">
        <f>"2000002471"</f>
        <v>2000002471</v>
      </c>
      <c r="Z54" s="4" t="str">
        <f>""</f>
        <v/>
      </c>
      <c r="AA54" s="4" t="str">
        <f>""</f>
        <v/>
      </c>
      <c r="AB54" s="5">
        <v>43630</v>
      </c>
      <c r="AC54" s="4">
        <v>0</v>
      </c>
    </row>
    <row r="55" spans="1:29" ht="14.45" customHeight="1" x14ac:dyDescent="0.25">
      <c r="A55" s="4" t="s">
        <v>25</v>
      </c>
      <c r="B55" s="4" t="s">
        <v>26</v>
      </c>
      <c r="C55" s="4" t="s">
        <v>27</v>
      </c>
      <c r="D55" s="4" t="s">
        <v>28</v>
      </c>
      <c r="E55" s="4" t="s">
        <v>26</v>
      </c>
      <c r="F55" s="4" t="s">
        <v>318</v>
      </c>
      <c r="G55" s="4" t="s">
        <v>318</v>
      </c>
      <c r="H55" s="4" t="s">
        <v>319</v>
      </c>
      <c r="I55" s="4" t="s">
        <v>95</v>
      </c>
      <c r="J55" s="4" t="str">
        <f>"5895SB0028091"</f>
        <v>5895SB0028091</v>
      </c>
      <c r="K55" s="4" t="s">
        <v>323</v>
      </c>
      <c r="L55" s="4" t="str">
        <f>""</f>
        <v/>
      </c>
      <c r="M55" s="4" t="str">
        <f>""</f>
        <v/>
      </c>
      <c r="N55" s="4" t="s">
        <v>34</v>
      </c>
      <c r="O55" s="3"/>
      <c r="P55" s="3"/>
      <c r="Q55" s="3"/>
      <c r="R55" s="4" t="s">
        <v>35</v>
      </c>
      <c r="S55" s="3"/>
      <c r="T55" s="4" t="str">
        <f>""</f>
        <v/>
      </c>
      <c r="U55" s="4" t="str">
        <f>"NCIA12010656"</f>
        <v>NCIA12010656</v>
      </c>
      <c r="V55" s="4" t="str">
        <f>"700000229"</f>
        <v>700000229</v>
      </c>
      <c r="W55" s="4" t="s">
        <v>36</v>
      </c>
      <c r="X55" s="4" t="str">
        <f>"02MQ7"</f>
        <v>02MQ7</v>
      </c>
      <c r="Y55" s="4" t="str">
        <f>"2000002471"</f>
        <v>2000002471</v>
      </c>
      <c r="Z55" s="4" t="str">
        <f>""</f>
        <v/>
      </c>
      <c r="AA55" s="4" t="str">
        <f>""</f>
        <v/>
      </c>
      <c r="AB55" s="5">
        <v>43671</v>
      </c>
      <c r="AC55" s="4">
        <v>0</v>
      </c>
    </row>
    <row r="56" spans="1:29" ht="14.45" customHeight="1" x14ac:dyDescent="0.25">
      <c r="A56" s="4" t="s">
        <v>25</v>
      </c>
      <c r="B56" s="4" t="s">
        <v>26</v>
      </c>
      <c r="C56" s="4" t="s">
        <v>27</v>
      </c>
      <c r="D56" s="4" t="s">
        <v>28</v>
      </c>
      <c r="E56" s="4" t="s">
        <v>26</v>
      </c>
      <c r="F56" s="4" t="s">
        <v>318</v>
      </c>
      <c r="G56" s="4" t="s">
        <v>318</v>
      </c>
      <c r="H56" s="4" t="s">
        <v>319</v>
      </c>
      <c r="I56" s="4" t="s">
        <v>68</v>
      </c>
      <c r="J56" s="4" t="str">
        <f>"5895SB0039086"</f>
        <v>5895SB0039086</v>
      </c>
      <c r="K56" s="4" t="s">
        <v>69</v>
      </c>
      <c r="L56" s="4" t="str">
        <f>""</f>
        <v/>
      </c>
      <c r="M56" s="4" t="str">
        <f>""</f>
        <v/>
      </c>
      <c r="N56" s="4" t="s">
        <v>34</v>
      </c>
      <c r="O56" s="3"/>
      <c r="P56" s="3"/>
      <c r="Q56" s="3"/>
      <c r="R56" s="4" t="s">
        <v>35</v>
      </c>
      <c r="S56" s="3"/>
      <c r="T56" s="4" t="str">
        <f>""</f>
        <v/>
      </c>
      <c r="U56" s="4" t="str">
        <f>"NCIA10371880"</f>
        <v>NCIA10371880</v>
      </c>
      <c r="V56" s="4" t="str">
        <f>"5731001"</f>
        <v>5731001</v>
      </c>
      <c r="W56" s="4" t="s">
        <v>36</v>
      </c>
      <c r="X56" s="4" t="str">
        <f>"0VMZ0"</f>
        <v>0VMZ0</v>
      </c>
      <c r="Y56" s="4" t="str">
        <f>"YSS.00263"</f>
        <v>YSS.00263</v>
      </c>
      <c r="Z56" s="4" t="str">
        <f>""</f>
        <v/>
      </c>
      <c r="AA56" s="4" t="str">
        <f>""</f>
        <v/>
      </c>
      <c r="AB56" s="5">
        <v>43465</v>
      </c>
      <c r="AC56" s="4">
        <v>0</v>
      </c>
    </row>
    <row r="57" spans="1:29" ht="14.45" customHeight="1" x14ac:dyDescent="0.25">
      <c r="A57" s="4" t="s">
        <v>25</v>
      </c>
      <c r="B57" s="4" t="s">
        <v>26</v>
      </c>
      <c r="C57" s="4" t="s">
        <v>27</v>
      </c>
      <c r="D57" s="4" t="s">
        <v>28</v>
      </c>
      <c r="E57" s="4" t="s">
        <v>26</v>
      </c>
      <c r="F57" s="4" t="s">
        <v>318</v>
      </c>
      <c r="G57" s="4" t="s">
        <v>318</v>
      </c>
      <c r="H57" s="4" t="s">
        <v>319</v>
      </c>
      <c r="I57" s="4" t="s">
        <v>70</v>
      </c>
      <c r="J57" s="4" t="str">
        <f>"5895SB0042339"</f>
        <v>5895SB0042339</v>
      </c>
      <c r="K57" s="4" t="s">
        <v>71</v>
      </c>
      <c r="L57" s="4" t="str">
        <f>""</f>
        <v/>
      </c>
      <c r="M57" s="4" t="str">
        <f>""</f>
        <v/>
      </c>
      <c r="N57" s="4" t="s">
        <v>34</v>
      </c>
      <c r="O57" s="3"/>
      <c r="P57" s="3"/>
      <c r="Q57" s="3"/>
      <c r="R57" s="4" t="s">
        <v>35</v>
      </c>
      <c r="S57" s="3"/>
      <c r="T57" s="4" t="str">
        <f>""</f>
        <v/>
      </c>
      <c r="U57" s="4" t="str">
        <f>"NCIA10311159"</f>
        <v>NCIA10311159</v>
      </c>
      <c r="V57" s="4" t="str">
        <f>"TSGT14-OLPX"</f>
        <v>TSGT14-OLPX</v>
      </c>
      <c r="W57" s="4" t="s">
        <v>36</v>
      </c>
      <c r="X57" s="4" t="str">
        <f>"MC1207"</f>
        <v>MC1207</v>
      </c>
      <c r="Y57" s="4" t="str">
        <f>"TSGT3-UTSGT RMB"</f>
        <v>TSGT3-UTSGT RMB</v>
      </c>
      <c r="Z57" s="4" t="str">
        <f>""</f>
        <v/>
      </c>
      <c r="AA57" s="4" t="str">
        <f>""</f>
        <v/>
      </c>
      <c r="AB57" s="5">
        <v>43465</v>
      </c>
      <c r="AC57" s="4">
        <v>0</v>
      </c>
    </row>
    <row r="58" spans="1:29" ht="14.45" customHeight="1" x14ac:dyDescent="0.25">
      <c r="A58" s="4" t="s">
        <v>25</v>
      </c>
      <c r="B58" s="4" t="s">
        <v>26</v>
      </c>
      <c r="C58" s="4" t="s">
        <v>27</v>
      </c>
      <c r="D58" s="4" t="s">
        <v>28</v>
      </c>
      <c r="E58" s="4" t="s">
        <v>26</v>
      </c>
      <c r="F58" s="4" t="s">
        <v>318</v>
      </c>
      <c r="G58" s="4" t="s">
        <v>318</v>
      </c>
      <c r="H58" s="4" t="s">
        <v>319</v>
      </c>
      <c r="I58" s="4" t="s">
        <v>59</v>
      </c>
      <c r="J58" s="4" t="str">
        <f>"5915SB0003483"</f>
        <v>5915SB0003483</v>
      </c>
      <c r="K58" s="4" t="s">
        <v>273</v>
      </c>
      <c r="L58" s="4" t="str">
        <f>""</f>
        <v/>
      </c>
      <c r="M58" s="4" t="str">
        <f>""</f>
        <v/>
      </c>
      <c r="N58" s="4" t="s">
        <v>34</v>
      </c>
      <c r="O58" s="3"/>
      <c r="P58" s="3"/>
      <c r="Q58" s="3"/>
      <c r="R58" s="4" t="s">
        <v>35</v>
      </c>
      <c r="S58" s="3"/>
      <c r="T58" s="4" t="str">
        <f>"10537-05050"</f>
        <v>10537-05050</v>
      </c>
      <c r="U58" s="4" t="str">
        <f>"01-117004"</f>
        <v>01-117004</v>
      </c>
      <c r="V58" s="4" t="str">
        <f>"1000567"</f>
        <v>1000567</v>
      </c>
      <c r="W58" s="4" t="s">
        <v>36</v>
      </c>
      <c r="X58" s="4" t="str">
        <f>"02MQ7"</f>
        <v>02MQ7</v>
      </c>
      <c r="Y58" s="4" t="str">
        <f>"10537-05050"</f>
        <v>10537-05050</v>
      </c>
      <c r="Z58" s="4" t="str">
        <f>""</f>
        <v/>
      </c>
      <c r="AA58" s="4" t="str">
        <f>""</f>
        <v/>
      </c>
      <c r="AB58" s="5">
        <v>43465</v>
      </c>
      <c r="AC58" s="4">
        <v>0</v>
      </c>
    </row>
    <row r="59" spans="1:29" ht="14.45" customHeight="1" x14ac:dyDescent="0.25">
      <c r="A59" s="4" t="s">
        <v>25</v>
      </c>
      <c r="B59" s="4" t="s">
        <v>26</v>
      </c>
      <c r="C59" s="4" t="s">
        <v>27</v>
      </c>
      <c r="D59" s="4" t="s">
        <v>28</v>
      </c>
      <c r="E59" s="4" t="s">
        <v>26</v>
      </c>
      <c r="F59" s="4" t="s">
        <v>318</v>
      </c>
      <c r="G59" s="4" t="s">
        <v>318</v>
      </c>
      <c r="H59" s="4" t="s">
        <v>319</v>
      </c>
      <c r="I59" s="4" t="s">
        <v>54</v>
      </c>
      <c r="J59" s="4" t="str">
        <f>"5975SB0002121"</f>
        <v>5975SB0002121</v>
      </c>
      <c r="K59" s="4" t="s">
        <v>175</v>
      </c>
      <c r="L59" s="4" t="str">
        <f>""</f>
        <v/>
      </c>
      <c r="M59" s="4" t="str">
        <f>""</f>
        <v/>
      </c>
      <c r="N59" s="4" t="s">
        <v>34</v>
      </c>
      <c r="O59" s="3"/>
      <c r="P59" s="3"/>
      <c r="Q59" s="3"/>
      <c r="R59" s="4" t="s">
        <v>35</v>
      </c>
      <c r="S59" s="3"/>
      <c r="T59" s="4" t="str">
        <f>"10537-05022"</f>
        <v>10537-05022</v>
      </c>
      <c r="U59" s="4" t="str">
        <f>"NCIA12010830"</f>
        <v>NCIA12010830</v>
      </c>
      <c r="V59" s="4" t="str">
        <f>"OLPX TBD"</f>
        <v>OLPX TBD</v>
      </c>
      <c r="W59" s="4" t="s">
        <v>36</v>
      </c>
      <c r="X59" s="4" t="str">
        <f>"02MQ7"</f>
        <v>02MQ7</v>
      </c>
      <c r="Y59" s="4" t="str">
        <f>"11008-05022"</f>
        <v>11008-05022</v>
      </c>
      <c r="Z59" s="4" t="str">
        <f>""</f>
        <v/>
      </c>
      <c r="AA59" s="4" t="str">
        <f>""</f>
        <v/>
      </c>
      <c r="AB59" s="5">
        <v>43672</v>
      </c>
      <c r="AC59" s="4">
        <v>0</v>
      </c>
    </row>
    <row r="60" spans="1:29" ht="14.45" customHeight="1" x14ac:dyDescent="0.25">
      <c r="A60" s="4" t="s">
        <v>25</v>
      </c>
      <c r="B60" s="4" t="s">
        <v>26</v>
      </c>
      <c r="C60" s="4" t="s">
        <v>27</v>
      </c>
      <c r="D60" s="4" t="s">
        <v>28</v>
      </c>
      <c r="E60" s="4" t="s">
        <v>26</v>
      </c>
      <c r="F60" s="4" t="s">
        <v>318</v>
      </c>
      <c r="G60" s="4" t="s">
        <v>318</v>
      </c>
      <c r="H60" s="4" t="s">
        <v>319</v>
      </c>
      <c r="I60" s="4" t="s">
        <v>72</v>
      </c>
      <c r="J60" s="4" t="str">
        <f>"5975SB0002678"</f>
        <v>5975SB0002678</v>
      </c>
      <c r="K60" s="4" t="s">
        <v>73</v>
      </c>
      <c r="L60" s="4" t="str">
        <f>""</f>
        <v/>
      </c>
      <c r="M60" s="4" t="str">
        <f>""</f>
        <v/>
      </c>
      <c r="N60" s="4" t="s">
        <v>34</v>
      </c>
      <c r="O60" s="3"/>
      <c r="P60" s="3"/>
      <c r="Q60" s="3"/>
      <c r="R60" s="4" t="s">
        <v>35</v>
      </c>
      <c r="S60" s="3"/>
      <c r="T60" s="4" t="str">
        <f>"300167"</f>
        <v>300167</v>
      </c>
      <c r="U60" s="4" t="str">
        <f>"01-117032"</f>
        <v>01-117032</v>
      </c>
      <c r="V60" s="4" t="str">
        <f>"2622074-007"</f>
        <v>2622074-007</v>
      </c>
      <c r="W60" s="4" t="s">
        <v>36</v>
      </c>
      <c r="X60" s="4" t="str">
        <f>"59797"</f>
        <v>59797</v>
      </c>
      <c r="Y60" s="4" t="str">
        <f>"300167"</f>
        <v>300167</v>
      </c>
      <c r="Z60" s="4" t="str">
        <f>""</f>
        <v/>
      </c>
      <c r="AA60" s="4" t="str">
        <f>""</f>
        <v/>
      </c>
      <c r="AB60" s="5">
        <v>43465</v>
      </c>
      <c r="AC60" s="4">
        <v>6589.05</v>
      </c>
    </row>
    <row r="61" spans="1:29" ht="14.45" customHeight="1" x14ac:dyDescent="0.25">
      <c r="A61" s="4" t="s">
        <v>25</v>
      </c>
      <c r="B61" s="4" t="s">
        <v>26</v>
      </c>
      <c r="C61" s="4" t="s">
        <v>27</v>
      </c>
      <c r="D61" s="4" t="s">
        <v>28</v>
      </c>
      <c r="E61" s="4" t="s">
        <v>26</v>
      </c>
      <c r="F61" s="4" t="s">
        <v>318</v>
      </c>
      <c r="G61" s="4" t="s">
        <v>318</v>
      </c>
      <c r="H61" s="4" t="s">
        <v>319</v>
      </c>
      <c r="I61" s="4" t="s">
        <v>59</v>
      </c>
      <c r="J61" s="4" t="str">
        <f>"5975SB0003393"</f>
        <v>5975SB0003393</v>
      </c>
      <c r="K61" s="4" t="s">
        <v>274</v>
      </c>
      <c r="L61" s="4" t="str">
        <f>""</f>
        <v/>
      </c>
      <c r="M61" s="4" t="str">
        <f>""</f>
        <v/>
      </c>
      <c r="N61" s="4" t="s">
        <v>34</v>
      </c>
      <c r="O61" s="3"/>
      <c r="P61" s="3"/>
      <c r="Q61" s="3"/>
      <c r="R61" s="4" t="s">
        <v>35</v>
      </c>
      <c r="S61" s="3"/>
      <c r="T61" s="4" t="str">
        <f>"10537-05031"</f>
        <v>10537-05031</v>
      </c>
      <c r="U61" s="4" t="str">
        <f>"01-117001"</f>
        <v>01-117001</v>
      </c>
      <c r="V61" s="4" t="str">
        <f>"1000560"</f>
        <v>1000560</v>
      </c>
      <c r="W61" s="4" t="s">
        <v>36</v>
      </c>
      <c r="X61" s="4" t="str">
        <f>"02MQ7"</f>
        <v>02MQ7</v>
      </c>
      <c r="Y61" s="4" t="str">
        <f>"10537-05031"</f>
        <v>10537-05031</v>
      </c>
      <c r="Z61" s="4" t="str">
        <f>""</f>
        <v/>
      </c>
      <c r="AA61" s="4" t="str">
        <f>""</f>
        <v/>
      </c>
      <c r="AB61" s="5">
        <v>43465</v>
      </c>
      <c r="AC61" s="6">
        <v>2468751631</v>
      </c>
    </row>
    <row r="62" spans="1:29" ht="14.45" customHeight="1" x14ac:dyDescent="0.25">
      <c r="A62" s="4" t="s">
        <v>25</v>
      </c>
      <c r="B62" s="4" t="s">
        <v>26</v>
      </c>
      <c r="C62" s="4" t="s">
        <v>27</v>
      </c>
      <c r="D62" s="4" t="s">
        <v>28</v>
      </c>
      <c r="E62" s="4" t="s">
        <v>26</v>
      </c>
      <c r="F62" s="4" t="s">
        <v>318</v>
      </c>
      <c r="G62" s="4" t="s">
        <v>318</v>
      </c>
      <c r="H62" s="4" t="s">
        <v>319</v>
      </c>
      <c r="I62" s="4" t="s">
        <v>59</v>
      </c>
      <c r="J62" s="4" t="str">
        <f>"5975SB0003443"</f>
        <v>5975SB0003443</v>
      </c>
      <c r="K62" s="4" t="s">
        <v>275</v>
      </c>
      <c r="L62" s="4" t="str">
        <f>""</f>
        <v/>
      </c>
      <c r="M62" s="4" t="str">
        <f>""</f>
        <v/>
      </c>
      <c r="N62" s="4" t="s">
        <v>34</v>
      </c>
      <c r="O62" s="3"/>
      <c r="P62" s="3"/>
      <c r="Q62" s="3"/>
      <c r="R62" s="4" t="s">
        <v>35</v>
      </c>
      <c r="S62" s="3"/>
      <c r="T62" s="4" t="str">
        <f>"10537-05029"</f>
        <v>10537-05029</v>
      </c>
      <c r="U62" s="4" t="str">
        <f>"01-117000"</f>
        <v>01-117000</v>
      </c>
      <c r="V62" s="4" t="str">
        <f>"1000583"</f>
        <v>1000583</v>
      </c>
      <c r="W62" s="4" t="s">
        <v>36</v>
      </c>
      <c r="X62" s="4" t="str">
        <f>"02MQ7"</f>
        <v>02MQ7</v>
      </c>
      <c r="Y62" s="4" t="str">
        <f>"10537-05029"</f>
        <v>10537-05029</v>
      </c>
      <c r="Z62" s="4" t="str">
        <f>""</f>
        <v/>
      </c>
      <c r="AA62" s="4" t="str">
        <f>""</f>
        <v/>
      </c>
      <c r="AB62" s="5">
        <v>43465</v>
      </c>
      <c r="AC62" s="4">
        <v>1400</v>
      </c>
    </row>
    <row r="63" spans="1:29" ht="14.45" customHeight="1" x14ac:dyDescent="0.25">
      <c r="A63" s="4" t="s">
        <v>25</v>
      </c>
      <c r="B63" s="4" t="s">
        <v>26</v>
      </c>
      <c r="C63" s="4" t="s">
        <v>27</v>
      </c>
      <c r="D63" s="4" t="s">
        <v>28</v>
      </c>
      <c r="E63" s="4" t="s">
        <v>26</v>
      </c>
      <c r="F63" s="4" t="s">
        <v>318</v>
      </c>
      <c r="G63" s="4" t="s">
        <v>318</v>
      </c>
      <c r="H63" s="4" t="s">
        <v>319</v>
      </c>
      <c r="I63" s="4" t="s">
        <v>51</v>
      </c>
      <c r="J63" s="4" t="str">
        <f>"5975SB0003921"</f>
        <v>5975SB0003921</v>
      </c>
      <c r="K63" s="4" t="s">
        <v>324</v>
      </c>
      <c r="L63" s="4" t="str">
        <f>""</f>
        <v/>
      </c>
      <c r="M63" s="4" t="str">
        <f>""</f>
        <v/>
      </c>
      <c r="N63" s="4" t="s">
        <v>34</v>
      </c>
      <c r="O63" s="3"/>
      <c r="P63" s="3"/>
      <c r="Q63" s="3"/>
      <c r="R63" s="4" t="s">
        <v>35</v>
      </c>
      <c r="S63" s="3"/>
      <c r="T63" s="4" t="str">
        <f>"10537-05012"</f>
        <v>10537-05012</v>
      </c>
      <c r="U63" s="4" t="str">
        <f>"NCIAX11175206"</f>
        <v>NCIAX11175206</v>
      </c>
      <c r="V63" s="4" t="str">
        <f>""</f>
        <v/>
      </c>
      <c r="W63" s="4" t="s">
        <v>36</v>
      </c>
      <c r="X63" s="4" t="str">
        <f>"02MQ7"</f>
        <v>02MQ7</v>
      </c>
      <c r="Y63" s="4" t="str">
        <f>"10537-05012"</f>
        <v>10537-05012</v>
      </c>
      <c r="Z63" s="4" t="str">
        <f>""</f>
        <v/>
      </c>
      <c r="AA63" s="4" t="str">
        <f>""</f>
        <v/>
      </c>
      <c r="AB63" s="5">
        <v>43465</v>
      </c>
      <c r="AC63" s="4">
        <v>0</v>
      </c>
    </row>
    <row r="64" spans="1:29" ht="14.45" customHeight="1" x14ac:dyDescent="0.25">
      <c r="A64" s="4" t="s">
        <v>25</v>
      </c>
      <c r="B64" s="4" t="s">
        <v>26</v>
      </c>
      <c r="C64" s="4" t="s">
        <v>27</v>
      </c>
      <c r="D64" s="4" t="s">
        <v>28</v>
      </c>
      <c r="E64" s="4" t="s">
        <v>26</v>
      </c>
      <c r="F64" s="4" t="s">
        <v>318</v>
      </c>
      <c r="G64" s="4" t="s">
        <v>318</v>
      </c>
      <c r="H64" s="4" t="s">
        <v>319</v>
      </c>
      <c r="I64" s="4" t="s">
        <v>32</v>
      </c>
      <c r="J64" s="4" t="str">
        <f>"5975SB0018939"</f>
        <v>5975SB0018939</v>
      </c>
      <c r="K64" s="4" t="s">
        <v>276</v>
      </c>
      <c r="L64" s="4" t="str">
        <f>""</f>
        <v/>
      </c>
      <c r="M64" s="4" t="str">
        <f>""</f>
        <v/>
      </c>
      <c r="N64" s="4" t="s">
        <v>34</v>
      </c>
      <c r="O64" s="3"/>
      <c r="P64" s="3"/>
      <c r="Q64" s="3"/>
      <c r="R64" s="4" t="s">
        <v>35</v>
      </c>
      <c r="S64" s="3"/>
      <c r="T64" s="4" t="str">
        <f>"722200250"</f>
        <v>722200250</v>
      </c>
      <c r="U64" s="4" t="str">
        <f>"01-117038"</f>
        <v>01-117038</v>
      </c>
      <c r="V64" s="4" t="str">
        <f>"38520334"</f>
        <v>38520334</v>
      </c>
      <c r="W64" s="4" t="s">
        <v>36</v>
      </c>
      <c r="X64" s="4" t="str">
        <f>"0NJ18"</f>
        <v>0NJ18</v>
      </c>
      <c r="Y64" s="4" t="str">
        <f>"722200250"</f>
        <v>722200250</v>
      </c>
      <c r="Z64" s="4" t="str">
        <f>""</f>
        <v/>
      </c>
      <c r="AA64" s="4" t="str">
        <f>""</f>
        <v/>
      </c>
      <c r="AB64" s="5">
        <v>43465</v>
      </c>
      <c r="AC64" s="4">
        <v>246.3</v>
      </c>
    </row>
    <row r="65" spans="1:29" ht="14.45" customHeight="1" x14ac:dyDescent="0.25">
      <c r="A65" s="4" t="s">
        <v>25</v>
      </c>
      <c r="B65" s="4" t="s">
        <v>26</v>
      </c>
      <c r="C65" s="4" t="s">
        <v>27</v>
      </c>
      <c r="D65" s="4" t="s">
        <v>28</v>
      </c>
      <c r="E65" s="4" t="s">
        <v>26</v>
      </c>
      <c r="F65" s="4" t="s">
        <v>318</v>
      </c>
      <c r="G65" s="4" t="s">
        <v>318</v>
      </c>
      <c r="H65" s="4" t="s">
        <v>319</v>
      </c>
      <c r="I65" s="4" t="s">
        <v>32</v>
      </c>
      <c r="J65" s="4" t="str">
        <f>"5975SB0018939"</f>
        <v>5975SB0018939</v>
      </c>
      <c r="K65" s="4" t="s">
        <v>276</v>
      </c>
      <c r="L65" s="4" t="str">
        <f>""</f>
        <v/>
      </c>
      <c r="M65" s="4" t="str">
        <f>""</f>
        <v/>
      </c>
      <c r="N65" s="4" t="s">
        <v>34</v>
      </c>
      <c r="O65" s="3"/>
      <c r="P65" s="3"/>
      <c r="Q65" s="3"/>
      <c r="R65" s="4" t="s">
        <v>35</v>
      </c>
      <c r="S65" s="3"/>
      <c r="T65" s="4" t="str">
        <f>"722200250"</f>
        <v>722200250</v>
      </c>
      <c r="U65" s="4" t="str">
        <f>"01-117039"</f>
        <v>01-117039</v>
      </c>
      <c r="V65" s="4" t="str">
        <f>"38520335"</f>
        <v>38520335</v>
      </c>
      <c r="W65" s="4" t="s">
        <v>36</v>
      </c>
      <c r="X65" s="4" t="str">
        <f>"0NJ18"</f>
        <v>0NJ18</v>
      </c>
      <c r="Y65" s="4" t="str">
        <f>"722200250"</f>
        <v>722200250</v>
      </c>
      <c r="Z65" s="4" t="str">
        <f>""</f>
        <v/>
      </c>
      <c r="AA65" s="4" t="str">
        <f>""</f>
        <v/>
      </c>
      <c r="AB65" s="5">
        <v>43465</v>
      </c>
      <c r="AC65" s="4">
        <v>246.3</v>
      </c>
    </row>
    <row r="66" spans="1:29" ht="14.45" customHeight="1" x14ac:dyDescent="0.25">
      <c r="A66" s="4" t="s">
        <v>25</v>
      </c>
      <c r="B66" s="4" t="s">
        <v>26</v>
      </c>
      <c r="C66" s="4" t="s">
        <v>27</v>
      </c>
      <c r="D66" s="4" t="s">
        <v>28</v>
      </c>
      <c r="E66" s="4" t="s">
        <v>26</v>
      </c>
      <c r="F66" s="4" t="s">
        <v>318</v>
      </c>
      <c r="G66" s="4" t="s">
        <v>318</v>
      </c>
      <c r="H66" s="4" t="s">
        <v>319</v>
      </c>
      <c r="I66" s="4" t="s">
        <v>32</v>
      </c>
      <c r="J66" s="4" t="str">
        <f>"5975SB0018939"</f>
        <v>5975SB0018939</v>
      </c>
      <c r="K66" s="4" t="s">
        <v>276</v>
      </c>
      <c r="L66" s="4" t="str">
        <f>""</f>
        <v/>
      </c>
      <c r="M66" s="4" t="str">
        <f>""</f>
        <v/>
      </c>
      <c r="N66" s="4" t="s">
        <v>34</v>
      </c>
      <c r="O66" s="3"/>
      <c r="P66" s="3"/>
      <c r="Q66" s="3"/>
      <c r="R66" s="4" t="s">
        <v>35</v>
      </c>
      <c r="S66" s="3"/>
      <c r="T66" s="4" t="str">
        <f>"722200250"</f>
        <v>722200250</v>
      </c>
      <c r="U66" s="4" t="str">
        <f>"01-117040"</f>
        <v>01-117040</v>
      </c>
      <c r="V66" s="4" t="str">
        <f>"38520336"</f>
        <v>38520336</v>
      </c>
      <c r="W66" s="4" t="s">
        <v>36</v>
      </c>
      <c r="X66" s="4" t="str">
        <f>"0NJ18"</f>
        <v>0NJ18</v>
      </c>
      <c r="Y66" s="4" t="str">
        <f>"722200250"</f>
        <v>722200250</v>
      </c>
      <c r="Z66" s="4" t="str">
        <f>""</f>
        <v/>
      </c>
      <c r="AA66" s="4" t="str">
        <f>""</f>
        <v/>
      </c>
      <c r="AB66" s="5">
        <v>43465</v>
      </c>
      <c r="AC66" s="4">
        <v>246.3</v>
      </c>
    </row>
    <row r="67" spans="1:29" ht="14.45" customHeight="1" x14ac:dyDescent="0.25">
      <c r="A67" s="4" t="s">
        <v>25</v>
      </c>
      <c r="B67" s="4" t="s">
        <v>26</v>
      </c>
      <c r="C67" s="4" t="s">
        <v>27</v>
      </c>
      <c r="D67" s="4" t="s">
        <v>28</v>
      </c>
      <c r="E67" s="4" t="s">
        <v>26</v>
      </c>
      <c r="F67" s="4" t="s">
        <v>318</v>
      </c>
      <c r="G67" s="4" t="s">
        <v>318</v>
      </c>
      <c r="H67" s="4" t="s">
        <v>319</v>
      </c>
      <c r="I67" s="4" t="s">
        <v>59</v>
      </c>
      <c r="J67" s="4" t="str">
        <f>"5985SB0001894"</f>
        <v>5985SB0001894</v>
      </c>
      <c r="K67" s="4" t="s">
        <v>76</v>
      </c>
      <c r="L67" s="4" t="str">
        <f>""</f>
        <v/>
      </c>
      <c r="M67" s="4" t="str">
        <f>""</f>
        <v/>
      </c>
      <c r="N67" s="4" t="s">
        <v>34</v>
      </c>
      <c r="O67" s="3"/>
      <c r="P67" s="3"/>
      <c r="Q67" s="3"/>
      <c r="R67" s="4" t="s">
        <v>35</v>
      </c>
      <c r="S67" s="3"/>
      <c r="T67" s="4" t="str">
        <f>"047494-01"</f>
        <v>047494-01</v>
      </c>
      <c r="U67" s="4" t="str">
        <f>"01-135167"</f>
        <v>01-135167</v>
      </c>
      <c r="V67" s="4" t="str">
        <f>"VSA-6815"</f>
        <v>VSA-6815</v>
      </c>
      <c r="W67" s="4" t="s">
        <v>36</v>
      </c>
      <c r="X67" s="4" t="str">
        <f>"1GD22"</f>
        <v>1GD22</v>
      </c>
      <c r="Y67" s="4" t="str">
        <f>"047494-01"</f>
        <v>047494-01</v>
      </c>
      <c r="Z67" s="4" t="str">
        <f>""</f>
        <v/>
      </c>
      <c r="AA67" s="4" t="str">
        <f>""</f>
        <v/>
      </c>
      <c r="AB67" s="5">
        <v>43465</v>
      </c>
      <c r="AC67" s="4">
        <v>0</v>
      </c>
    </row>
    <row r="68" spans="1:29" ht="14.45" customHeight="1" x14ac:dyDescent="0.25">
      <c r="A68" s="4" t="s">
        <v>25</v>
      </c>
      <c r="B68" s="4" t="s">
        <v>26</v>
      </c>
      <c r="C68" s="4" t="s">
        <v>27</v>
      </c>
      <c r="D68" s="4" t="s">
        <v>28</v>
      </c>
      <c r="E68" s="4" t="s">
        <v>26</v>
      </c>
      <c r="F68" s="4" t="s">
        <v>318</v>
      </c>
      <c r="G68" s="4" t="s">
        <v>318</v>
      </c>
      <c r="H68" s="4" t="s">
        <v>319</v>
      </c>
      <c r="I68" s="4" t="s">
        <v>59</v>
      </c>
      <c r="J68" s="4" t="str">
        <f>"5985SB0001894"</f>
        <v>5985SB0001894</v>
      </c>
      <c r="K68" s="4" t="s">
        <v>76</v>
      </c>
      <c r="L68" s="4" t="str">
        <f>""</f>
        <v/>
      </c>
      <c r="M68" s="4" t="str">
        <f>""</f>
        <v/>
      </c>
      <c r="N68" s="4" t="s">
        <v>34</v>
      </c>
      <c r="O68" s="3"/>
      <c r="P68" s="3"/>
      <c r="Q68" s="3"/>
      <c r="R68" s="4" t="s">
        <v>35</v>
      </c>
      <c r="S68" s="3"/>
      <c r="T68" s="4" t="str">
        <f>"047494-01"</f>
        <v>047494-01</v>
      </c>
      <c r="U68" s="4" t="str">
        <f>"NCIA10110001"</f>
        <v>NCIA10110001</v>
      </c>
      <c r="V68" s="4" t="str">
        <f>""</f>
        <v/>
      </c>
      <c r="W68" s="4" t="s">
        <v>36</v>
      </c>
      <c r="X68" s="4" t="str">
        <f>"1GD22"</f>
        <v>1GD22</v>
      </c>
      <c r="Y68" s="4" t="str">
        <f>"047494-01"</f>
        <v>047494-01</v>
      </c>
      <c r="Z68" s="4" t="str">
        <f>""</f>
        <v/>
      </c>
      <c r="AA68" s="4" t="str">
        <f>""</f>
        <v/>
      </c>
      <c r="AB68" s="5">
        <v>43465</v>
      </c>
      <c r="AC68" s="4">
        <v>0</v>
      </c>
    </row>
    <row r="69" spans="1:29" ht="14.45" customHeight="1" x14ac:dyDescent="0.25">
      <c r="A69" s="4" t="s">
        <v>25</v>
      </c>
      <c r="B69" s="4" t="s">
        <v>26</v>
      </c>
      <c r="C69" s="4" t="s">
        <v>27</v>
      </c>
      <c r="D69" s="4" t="s">
        <v>28</v>
      </c>
      <c r="E69" s="4" t="s">
        <v>26</v>
      </c>
      <c r="F69" s="4" t="s">
        <v>318</v>
      </c>
      <c r="G69" s="4" t="s">
        <v>318</v>
      </c>
      <c r="H69" s="4" t="s">
        <v>319</v>
      </c>
      <c r="I69" s="4" t="s">
        <v>59</v>
      </c>
      <c r="J69" s="4" t="str">
        <f>"5985SB0001898"</f>
        <v>5985SB0001898</v>
      </c>
      <c r="K69" s="4" t="s">
        <v>278</v>
      </c>
      <c r="L69" s="4" t="str">
        <f>""</f>
        <v/>
      </c>
      <c r="M69" s="4" t="str">
        <f>""</f>
        <v/>
      </c>
      <c r="N69" s="4" t="s">
        <v>34</v>
      </c>
      <c r="O69" s="3"/>
      <c r="P69" s="3"/>
      <c r="Q69" s="3"/>
      <c r="R69" s="4" t="s">
        <v>35</v>
      </c>
      <c r="S69" s="3"/>
      <c r="T69" s="4" t="str">
        <f>"047721-03"</f>
        <v>047721-03</v>
      </c>
      <c r="U69" s="4" t="str">
        <f>"03-139679"</f>
        <v>03-139679</v>
      </c>
      <c r="V69" s="4" t="str">
        <f>"DD125-120"</f>
        <v>DD125-120</v>
      </c>
      <c r="W69" s="4" t="s">
        <v>36</v>
      </c>
      <c r="X69" s="4" t="str">
        <f>"1GD22"</f>
        <v>1GD22</v>
      </c>
      <c r="Y69" s="4" t="str">
        <f>"047721-03"</f>
        <v>047721-03</v>
      </c>
      <c r="Z69" s="4" t="str">
        <f>""</f>
        <v/>
      </c>
      <c r="AA69" s="4" t="str">
        <f>""</f>
        <v/>
      </c>
      <c r="AB69" s="5">
        <v>43465</v>
      </c>
      <c r="AC69" s="4">
        <v>0</v>
      </c>
    </row>
    <row r="70" spans="1:29" ht="14.45" customHeight="1" x14ac:dyDescent="0.25">
      <c r="A70" s="4" t="s">
        <v>25</v>
      </c>
      <c r="B70" s="4" t="s">
        <v>26</v>
      </c>
      <c r="C70" s="4" t="s">
        <v>27</v>
      </c>
      <c r="D70" s="4" t="s">
        <v>28</v>
      </c>
      <c r="E70" s="4" t="s">
        <v>26</v>
      </c>
      <c r="F70" s="4" t="s">
        <v>318</v>
      </c>
      <c r="G70" s="4" t="s">
        <v>318</v>
      </c>
      <c r="H70" s="4" t="s">
        <v>319</v>
      </c>
      <c r="I70" s="4" t="s">
        <v>61</v>
      </c>
      <c r="J70" s="4" t="str">
        <f>"5985SB0002132"</f>
        <v>5985SB0002132</v>
      </c>
      <c r="K70" s="4" t="s">
        <v>187</v>
      </c>
      <c r="L70" s="4" t="str">
        <f>""</f>
        <v/>
      </c>
      <c r="M70" s="4" t="str">
        <f>""</f>
        <v/>
      </c>
      <c r="N70" s="4" t="s">
        <v>34</v>
      </c>
      <c r="O70" s="3"/>
      <c r="P70" s="3"/>
      <c r="Q70" s="3"/>
      <c r="R70" s="4" t="s">
        <v>35</v>
      </c>
      <c r="S70" s="3"/>
      <c r="T70" s="4" t="str">
        <f>"10537-05021"</f>
        <v>10537-05021</v>
      </c>
      <c r="U70" s="4" t="str">
        <f>"NCIA12010831"</f>
        <v>NCIA12010831</v>
      </c>
      <c r="V70" s="4" t="str">
        <f>"OLPX TBD"</f>
        <v>OLPX TBD</v>
      </c>
      <c r="W70" s="4" t="s">
        <v>36</v>
      </c>
      <c r="X70" s="4" t="str">
        <f>"02MQ7"</f>
        <v>02MQ7</v>
      </c>
      <c r="Y70" s="4" t="str">
        <f>"11008-05021"</f>
        <v>11008-05021</v>
      </c>
      <c r="Z70" s="4" t="str">
        <f>""</f>
        <v/>
      </c>
      <c r="AA70" s="4" t="str">
        <f>""</f>
        <v/>
      </c>
      <c r="AB70" s="5">
        <v>43672</v>
      </c>
      <c r="AC70" s="4">
        <v>0</v>
      </c>
    </row>
    <row r="71" spans="1:29" ht="14.45" customHeight="1" x14ac:dyDescent="0.25">
      <c r="A71" s="4" t="s">
        <v>25</v>
      </c>
      <c r="B71" s="4" t="s">
        <v>26</v>
      </c>
      <c r="C71" s="4" t="s">
        <v>27</v>
      </c>
      <c r="D71" s="4" t="s">
        <v>28</v>
      </c>
      <c r="E71" s="4" t="s">
        <v>26</v>
      </c>
      <c r="F71" s="4" t="s">
        <v>318</v>
      </c>
      <c r="G71" s="4" t="s">
        <v>318</v>
      </c>
      <c r="H71" s="4" t="s">
        <v>319</v>
      </c>
      <c r="I71" s="4" t="s">
        <v>77</v>
      </c>
      <c r="J71" s="4" t="str">
        <f>"5985SB0002170"</f>
        <v>5985SB0002170</v>
      </c>
      <c r="K71" s="4" t="s">
        <v>78</v>
      </c>
      <c r="L71" s="4" t="str">
        <f>""</f>
        <v/>
      </c>
      <c r="M71" s="4" t="str">
        <f>""</f>
        <v/>
      </c>
      <c r="N71" s="4" t="s">
        <v>34</v>
      </c>
      <c r="O71" s="3"/>
      <c r="P71" s="3"/>
      <c r="Q71" s="3"/>
      <c r="R71" s="4" t="s">
        <v>35</v>
      </c>
      <c r="S71" s="3"/>
      <c r="T71" s="4" t="str">
        <f>"5985015847796"</f>
        <v>5985015847796</v>
      </c>
      <c r="U71" s="4" t="str">
        <f>"NCIA12008722"</f>
        <v>NCIA12008722</v>
      </c>
      <c r="V71" s="4" t="str">
        <f>"VCN18041969"</f>
        <v>VCN18041969</v>
      </c>
      <c r="W71" s="4" t="s">
        <v>36</v>
      </c>
      <c r="X71" s="4" t="str">
        <f>"02MQ7"</f>
        <v>02MQ7</v>
      </c>
      <c r="Y71" s="4" t="str">
        <f>"123T-02-S04-A01"</f>
        <v>123T-02-S04-A01</v>
      </c>
      <c r="Z71" s="4" t="str">
        <f>""</f>
        <v/>
      </c>
      <c r="AA71" s="4" t="str">
        <f>""</f>
        <v/>
      </c>
      <c r="AB71" s="5">
        <v>43630</v>
      </c>
      <c r="AC71" s="4">
        <v>0</v>
      </c>
    </row>
    <row r="72" spans="1:29" ht="14.45" customHeight="1" x14ac:dyDescent="0.25">
      <c r="A72" s="4" t="s">
        <v>25</v>
      </c>
      <c r="B72" s="4" t="s">
        <v>26</v>
      </c>
      <c r="C72" s="4" t="s">
        <v>27</v>
      </c>
      <c r="D72" s="4" t="s">
        <v>28</v>
      </c>
      <c r="E72" s="4" t="s">
        <v>26</v>
      </c>
      <c r="F72" s="4" t="s">
        <v>318</v>
      </c>
      <c r="G72" s="4" t="s">
        <v>318</v>
      </c>
      <c r="H72" s="4" t="s">
        <v>319</v>
      </c>
      <c r="I72" s="4" t="s">
        <v>59</v>
      </c>
      <c r="J72" s="4" t="str">
        <f>"5985SB0002506"</f>
        <v>5985SB0002506</v>
      </c>
      <c r="K72" s="4" t="s">
        <v>80</v>
      </c>
      <c r="L72" s="4" t="str">
        <f>""</f>
        <v/>
      </c>
      <c r="M72" s="4" t="str">
        <f>""</f>
        <v/>
      </c>
      <c r="N72" s="4" t="s">
        <v>34</v>
      </c>
      <c r="O72" s="3"/>
      <c r="P72" s="3"/>
      <c r="Q72" s="3"/>
      <c r="R72" s="4" t="s">
        <v>35</v>
      </c>
      <c r="S72" s="3"/>
      <c r="T72" s="4" t="str">
        <f>"12719-101"</f>
        <v>12719-101</v>
      </c>
      <c r="U72" s="4" t="str">
        <f>"NCIAX11177252"</f>
        <v>NCIAX11177252</v>
      </c>
      <c r="V72" s="4" t="str">
        <f>""</f>
        <v/>
      </c>
      <c r="W72" s="4" t="s">
        <v>36</v>
      </c>
      <c r="X72" s="4" t="str">
        <f>"0BFK7"</f>
        <v>0BFK7</v>
      </c>
      <c r="Y72" s="4" t="str">
        <f>"12719-101"</f>
        <v>12719-101</v>
      </c>
      <c r="Z72" s="4" t="str">
        <f>""</f>
        <v/>
      </c>
      <c r="AA72" s="4" t="str">
        <f>""</f>
        <v/>
      </c>
      <c r="AB72" s="5">
        <v>43465</v>
      </c>
      <c r="AC72" s="4">
        <v>0</v>
      </c>
    </row>
    <row r="73" spans="1:29" ht="14.45" customHeight="1" x14ac:dyDescent="0.25">
      <c r="A73" s="4" t="s">
        <v>25</v>
      </c>
      <c r="B73" s="4" t="s">
        <v>26</v>
      </c>
      <c r="C73" s="4" t="s">
        <v>27</v>
      </c>
      <c r="D73" s="4" t="s">
        <v>28</v>
      </c>
      <c r="E73" s="4" t="s">
        <v>26</v>
      </c>
      <c r="F73" s="4" t="s">
        <v>318</v>
      </c>
      <c r="G73" s="4" t="s">
        <v>318</v>
      </c>
      <c r="H73" s="4" t="s">
        <v>319</v>
      </c>
      <c r="I73" s="4" t="s">
        <v>59</v>
      </c>
      <c r="J73" s="4" t="str">
        <f>"5985SB0002507"</f>
        <v>5985SB0002507</v>
      </c>
      <c r="K73" s="4" t="s">
        <v>79</v>
      </c>
      <c r="L73" s="4" t="str">
        <f>""</f>
        <v/>
      </c>
      <c r="M73" s="4" t="str">
        <f>""</f>
        <v/>
      </c>
      <c r="N73" s="4" t="s">
        <v>34</v>
      </c>
      <c r="O73" s="3"/>
      <c r="P73" s="3"/>
      <c r="Q73" s="3"/>
      <c r="R73" s="4" t="s">
        <v>35</v>
      </c>
      <c r="S73" s="3"/>
      <c r="T73" s="4" t="str">
        <f>"12719-301"</f>
        <v>12719-301</v>
      </c>
      <c r="U73" s="4" t="str">
        <f>"01-117010"</f>
        <v>01-117010</v>
      </c>
      <c r="V73" s="4" t="str">
        <f>"12721-02"</f>
        <v>12721-02</v>
      </c>
      <c r="W73" s="4" t="s">
        <v>36</v>
      </c>
      <c r="X73" s="4" t="str">
        <f>"0BFK7"</f>
        <v>0BFK7</v>
      </c>
      <c r="Y73" s="4" t="str">
        <f>"12719-301"</f>
        <v>12719-301</v>
      </c>
      <c r="Z73" s="4" t="str">
        <f>""</f>
        <v/>
      </c>
      <c r="AA73" s="4" t="str">
        <f>""</f>
        <v/>
      </c>
      <c r="AB73" s="5">
        <v>43465</v>
      </c>
      <c r="AC73" s="4">
        <v>0</v>
      </c>
    </row>
    <row r="74" spans="1:29" ht="14.45" customHeight="1" x14ac:dyDescent="0.25">
      <c r="A74" s="4" t="s">
        <v>25</v>
      </c>
      <c r="B74" s="4" t="s">
        <v>26</v>
      </c>
      <c r="C74" s="4" t="s">
        <v>27</v>
      </c>
      <c r="D74" s="4" t="s">
        <v>28</v>
      </c>
      <c r="E74" s="4" t="s">
        <v>26</v>
      </c>
      <c r="F74" s="4" t="s">
        <v>318</v>
      </c>
      <c r="G74" s="4" t="s">
        <v>318</v>
      </c>
      <c r="H74" s="4" t="s">
        <v>319</v>
      </c>
      <c r="I74" s="4" t="s">
        <v>59</v>
      </c>
      <c r="J74" s="4" t="str">
        <f>"5985SB0002508"</f>
        <v>5985SB0002508</v>
      </c>
      <c r="K74" s="4" t="s">
        <v>80</v>
      </c>
      <c r="L74" s="4" t="str">
        <f>""</f>
        <v/>
      </c>
      <c r="M74" s="4" t="str">
        <f>""</f>
        <v/>
      </c>
      <c r="N74" s="4" t="s">
        <v>34</v>
      </c>
      <c r="O74" s="3"/>
      <c r="P74" s="3"/>
      <c r="Q74" s="3"/>
      <c r="R74" s="4" t="s">
        <v>35</v>
      </c>
      <c r="S74" s="3"/>
      <c r="T74" s="4" t="str">
        <f>"12721-101"</f>
        <v>12721-101</v>
      </c>
      <c r="U74" s="4" t="str">
        <f>"01-117012"</f>
        <v>01-117012</v>
      </c>
      <c r="V74" s="4" t="str">
        <f>"12719-08"</f>
        <v>12719-08</v>
      </c>
      <c r="W74" s="4" t="s">
        <v>36</v>
      </c>
      <c r="X74" s="4" t="str">
        <f>"0BFK7"</f>
        <v>0BFK7</v>
      </c>
      <c r="Y74" s="4" t="str">
        <f>"12721-101"</f>
        <v>12721-101</v>
      </c>
      <c r="Z74" s="4" t="str">
        <f>""</f>
        <v/>
      </c>
      <c r="AA74" s="4" t="str">
        <f>""</f>
        <v/>
      </c>
      <c r="AB74" s="5">
        <v>43465</v>
      </c>
      <c r="AC74" s="4">
        <v>0</v>
      </c>
    </row>
    <row r="75" spans="1:29" ht="14.45" customHeight="1" x14ac:dyDescent="0.25">
      <c r="A75" s="4" t="s">
        <v>25</v>
      </c>
      <c r="B75" s="4" t="s">
        <v>26</v>
      </c>
      <c r="C75" s="4" t="s">
        <v>27</v>
      </c>
      <c r="D75" s="4" t="s">
        <v>28</v>
      </c>
      <c r="E75" s="4" t="s">
        <v>26</v>
      </c>
      <c r="F75" s="4" t="s">
        <v>318</v>
      </c>
      <c r="G75" s="4" t="s">
        <v>318</v>
      </c>
      <c r="H75" s="4" t="s">
        <v>319</v>
      </c>
      <c r="I75" s="4" t="s">
        <v>59</v>
      </c>
      <c r="J75" s="4" t="str">
        <f>"5985SB0002987"</f>
        <v>5985SB0002987</v>
      </c>
      <c r="K75" s="4" t="s">
        <v>325</v>
      </c>
      <c r="L75" s="4" t="str">
        <f>""</f>
        <v/>
      </c>
      <c r="M75" s="4" t="str">
        <f>""</f>
        <v/>
      </c>
      <c r="N75" s="4" t="s">
        <v>34</v>
      </c>
      <c r="O75" s="3"/>
      <c r="P75" s="3"/>
      <c r="Q75" s="3"/>
      <c r="R75" s="4" t="s">
        <v>35</v>
      </c>
      <c r="S75" s="3"/>
      <c r="T75" s="4" t="str">
        <f>"10537-05076"</f>
        <v>10537-05076</v>
      </c>
      <c r="U75" s="4" t="str">
        <f>"NCIAX11177282"</f>
        <v>NCIAX11177282</v>
      </c>
      <c r="V75" s="4" t="str">
        <f>""</f>
        <v/>
      </c>
      <c r="W75" s="4" t="s">
        <v>36</v>
      </c>
      <c r="X75" s="4" t="str">
        <f t="shared" ref="X75:X85" si="1">"02MQ7"</f>
        <v>02MQ7</v>
      </c>
      <c r="Y75" s="4" t="str">
        <f>"10537-05076"</f>
        <v>10537-05076</v>
      </c>
      <c r="Z75" s="4" t="str">
        <f>""</f>
        <v/>
      </c>
      <c r="AA75" s="4" t="str">
        <f>""</f>
        <v/>
      </c>
      <c r="AB75" s="5">
        <v>43465</v>
      </c>
      <c r="AC75" s="4">
        <v>0</v>
      </c>
    </row>
    <row r="76" spans="1:29" ht="14.45" customHeight="1" x14ac:dyDescent="0.25">
      <c r="A76" s="4" t="s">
        <v>25</v>
      </c>
      <c r="B76" s="4" t="s">
        <v>26</v>
      </c>
      <c r="C76" s="4" t="s">
        <v>27</v>
      </c>
      <c r="D76" s="4" t="s">
        <v>28</v>
      </c>
      <c r="E76" s="4" t="s">
        <v>26</v>
      </c>
      <c r="F76" s="4" t="s">
        <v>318</v>
      </c>
      <c r="G76" s="4" t="s">
        <v>318</v>
      </c>
      <c r="H76" s="4" t="s">
        <v>319</v>
      </c>
      <c r="I76" s="4" t="s">
        <v>59</v>
      </c>
      <c r="J76" s="4" t="str">
        <f>"5985SB0017092"</f>
        <v>5985SB0017092</v>
      </c>
      <c r="K76" s="4" t="s">
        <v>279</v>
      </c>
      <c r="L76" s="4" t="str">
        <f>""</f>
        <v/>
      </c>
      <c r="M76" s="4" t="str">
        <f>""</f>
        <v/>
      </c>
      <c r="N76" s="4" t="s">
        <v>34</v>
      </c>
      <c r="O76" s="3"/>
      <c r="P76" s="3"/>
      <c r="Q76" s="3"/>
      <c r="R76" s="4" t="s">
        <v>35</v>
      </c>
      <c r="S76" s="3"/>
      <c r="T76" s="4" t="str">
        <f>"10537-06076"</f>
        <v>10537-06076</v>
      </c>
      <c r="U76" s="4" t="str">
        <f>"NCIAX11177403"</f>
        <v>NCIAX11177403</v>
      </c>
      <c r="V76" s="4" t="str">
        <f>""</f>
        <v/>
      </c>
      <c r="W76" s="4" t="s">
        <v>36</v>
      </c>
      <c r="X76" s="4" t="str">
        <f t="shared" si="1"/>
        <v>02MQ7</v>
      </c>
      <c r="Y76" s="4" t="str">
        <f>"10537-06076"</f>
        <v>10537-06076</v>
      </c>
      <c r="Z76" s="4" t="str">
        <f>""</f>
        <v/>
      </c>
      <c r="AA76" s="4" t="str">
        <f>""</f>
        <v/>
      </c>
      <c r="AB76" s="5">
        <v>43465</v>
      </c>
      <c r="AC76" s="4">
        <v>0</v>
      </c>
    </row>
    <row r="77" spans="1:29" ht="14.45" customHeight="1" x14ac:dyDescent="0.25">
      <c r="A77" s="4" t="s">
        <v>25</v>
      </c>
      <c r="B77" s="4" t="s">
        <v>26</v>
      </c>
      <c r="C77" s="4" t="s">
        <v>27</v>
      </c>
      <c r="D77" s="4" t="s">
        <v>28</v>
      </c>
      <c r="E77" s="4" t="s">
        <v>26</v>
      </c>
      <c r="F77" s="4" t="s">
        <v>318</v>
      </c>
      <c r="G77" s="4" t="s">
        <v>318</v>
      </c>
      <c r="H77" s="4" t="s">
        <v>319</v>
      </c>
      <c r="I77" s="4" t="s">
        <v>326</v>
      </c>
      <c r="J77" s="4" t="str">
        <f>"5985SB0035948"</f>
        <v>5985SB0035948</v>
      </c>
      <c r="K77" s="4" t="s">
        <v>327</v>
      </c>
      <c r="L77" s="4" t="str">
        <f>""</f>
        <v/>
      </c>
      <c r="M77" s="4" t="str">
        <f>""</f>
        <v/>
      </c>
      <c r="N77" s="4" t="s">
        <v>34</v>
      </c>
      <c r="O77" s="3"/>
      <c r="P77" s="3"/>
      <c r="Q77" s="3"/>
      <c r="R77" s="4" t="s">
        <v>35</v>
      </c>
      <c r="S77" s="3"/>
      <c r="T77" s="4" t="str">
        <f>""</f>
        <v/>
      </c>
      <c r="U77" s="4" t="str">
        <f>"NCIA10401894"</f>
        <v>NCIA10401894</v>
      </c>
      <c r="V77" s="4" t="str">
        <f>"1611182059"</f>
        <v>1611182059</v>
      </c>
      <c r="W77" s="4" t="s">
        <v>36</v>
      </c>
      <c r="X77" s="4" t="str">
        <f t="shared" si="1"/>
        <v>02MQ7</v>
      </c>
      <c r="Y77" s="4" t="str">
        <f>"065276-01"</f>
        <v>065276-01</v>
      </c>
      <c r="Z77" s="4" t="str">
        <f>""</f>
        <v/>
      </c>
      <c r="AA77" s="4" t="str">
        <f>""</f>
        <v/>
      </c>
      <c r="AB77" s="5">
        <v>43465</v>
      </c>
      <c r="AC77" s="4">
        <v>0</v>
      </c>
    </row>
    <row r="78" spans="1:29" ht="14.45" customHeight="1" x14ac:dyDescent="0.25">
      <c r="A78" s="4" t="s">
        <v>25</v>
      </c>
      <c r="B78" s="4" t="s">
        <v>26</v>
      </c>
      <c r="C78" s="4" t="s">
        <v>27</v>
      </c>
      <c r="D78" s="4" t="s">
        <v>28</v>
      </c>
      <c r="E78" s="4" t="s">
        <v>26</v>
      </c>
      <c r="F78" s="4" t="s">
        <v>318</v>
      </c>
      <c r="G78" s="4" t="s">
        <v>318</v>
      </c>
      <c r="H78" s="4" t="s">
        <v>319</v>
      </c>
      <c r="I78" s="4" t="s">
        <v>37</v>
      </c>
      <c r="J78" s="4" t="str">
        <f>"5985SB0042110"</f>
        <v>5985SB0042110</v>
      </c>
      <c r="K78" s="4" t="s">
        <v>280</v>
      </c>
      <c r="L78" s="4" t="str">
        <f>""</f>
        <v/>
      </c>
      <c r="M78" s="4" t="str">
        <f>""</f>
        <v/>
      </c>
      <c r="N78" s="4" t="s">
        <v>34</v>
      </c>
      <c r="O78" s="3"/>
      <c r="P78" s="3"/>
      <c r="Q78" s="3"/>
      <c r="R78" s="4" t="s">
        <v>35</v>
      </c>
      <c r="S78" s="3"/>
      <c r="T78" s="4" t="str">
        <f>""</f>
        <v/>
      </c>
      <c r="U78" s="4" t="str">
        <f>"NCIA12008733"</f>
        <v>NCIA12008733</v>
      </c>
      <c r="V78" s="4" t="str">
        <f>"106266"</f>
        <v>106266</v>
      </c>
      <c r="W78" s="4" t="s">
        <v>36</v>
      </c>
      <c r="X78" s="4" t="str">
        <f t="shared" si="1"/>
        <v>02MQ7</v>
      </c>
      <c r="Y78" s="4" t="str">
        <f>"LDCBS1X2-N"</f>
        <v>LDCBS1X2-N</v>
      </c>
      <c r="Z78" s="4" t="str">
        <f>""</f>
        <v/>
      </c>
      <c r="AA78" s="4" t="str">
        <f>""</f>
        <v/>
      </c>
      <c r="AB78" s="5">
        <v>43630</v>
      </c>
      <c r="AC78" s="4">
        <v>0</v>
      </c>
    </row>
    <row r="79" spans="1:29" ht="14.45" customHeight="1" x14ac:dyDescent="0.25">
      <c r="A79" s="4" t="s">
        <v>25</v>
      </c>
      <c r="B79" s="4" t="s">
        <v>26</v>
      </c>
      <c r="C79" s="4" t="s">
        <v>27</v>
      </c>
      <c r="D79" s="4" t="s">
        <v>28</v>
      </c>
      <c r="E79" s="4" t="s">
        <v>26</v>
      </c>
      <c r="F79" s="4" t="s">
        <v>318</v>
      </c>
      <c r="G79" s="4" t="s">
        <v>318</v>
      </c>
      <c r="H79" s="4" t="s">
        <v>319</v>
      </c>
      <c r="I79" s="4" t="s">
        <v>37</v>
      </c>
      <c r="J79" s="4" t="str">
        <f>"5985SB0042110"</f>
        <v>5985SB0042110</v>
      </c>
      <c r="K79" s="4" t="s">
        <v>280</v>
      </c>
      <c r="L79" s="4" t="str">
        <f>""</f>
        <v/>
      </c>
      <c r="M79" s="4" t="str">
        <f>""</f>
        <v/>
      </c>
      <c r="N79" s="4" t="s">
        <v>34</v>
      </c>
      <c r="O79" s="3"/>
      <c r="P79" s="3"/>
      <c r="Q79" s="3"/>
      <c r="R79" s="4" t="s">
        <v>35</v>
      </c>
      <c r="S79" s="3"/>
      <c r="T79" s="4" t="str">
        <f>""</f>
        <v/>
      </c>
      <c r="U79" s="4" t="str">
        <f>"NCIA12010615"</f>
        <v>NCIA12010615</v>
      </c>
      <c r="V79" s="4" t="str">
        <f>"TBD"</f>
        <v>TBD</v>
      </c>
      <c r="W79" s="4" t="s">
        <v>36</v>
      </c>
      <c r="X79" s="4" t="str">
        <f t="shared" si="1"/>
        <v>02MQ7</v>
      </c>
      <c r="Y79" s="4" t="str">
        <f>"LDCBS1X2N"</f>
        <v>LDCBS1X2N</v>
      </c>
      <c r="Z79" s="4" t="str">
        <f>""</f>
        <v/>
      </c>
      <c r="AA79" s="4" t="str">
        <f>""</f>
        <v/>
      </c>
      <c r="AB79" s="5">
        <v>43670</v>
      </c>
      <c r="AC79" s="4">
        <v>0</v>
      </c>
    </row>
    <row r="80" spans="1:29" ht="14.45" customHeight="1" x14ac:dyDescent="0.25">
      <c r="A80" s="4" t="s">
        <v>25</v>
      </c>
      <c r="B80" s="4" t="s">
        <v>26</v>
      </c>
      <c r="C80" s="4" t="s">
        <v>27</v>
      </c>
      <c r="D80" s="4" t="s">
        <v>28</v>
      </c>
      <c r="E80" s="4" t="s">
        <v>26</v>
      </c>
      <c r="F80" s="4" t="s">
        <v>318</v>
      </c>
      <c r="G80" s="4" t="s">
        <v>318</v>
      </c>
      <c r="H80" s="4" t="s">
        <v>319</v>
      </c>
      <c r="I80" s="4" t="s">
        <v>37</v>
      </c>
      <c r="J80" s="4" t="str">
        <f>"5985SB0042110"</f>
        <v>5985SB0042110</v>
      </c>
      <c r="K80" s="4" t="s">
        <v>280</v>
      </c>
      <c r="L80" s="4" t="str">
        <f>""</f>
        <v/>
      </c>
      <c r="M80" s="4" t="str">
        <f>""</f>
        <v/>
      </c>
      <c r="N80" s="4" t="s">
        <v>34</v>
      </c>
      <c r="O80" s="3"/>
      <c r="P80" s="3"/>
      <c r="Q80" s="3"/>
      <c r="R80" s="4" t="s">
        <v>35</v>
      </c>
      <c r="S80" s="3"/>
      <c r="T80" s="4" t="str">
        <f>""</f>
        <v/>
      </c>
      <c r="U80" s="4" t="str">
        <f>"NCIA12010652"</f>
        <v>NCIA12010652</v>
      </c>
      <c r="V80" s="4" t="str">
        <f>"TBD OLPX"</f>
        <v>TBD OLPX</v>
      </c>
      <c r="W80" s="4" t="s">
        <v>36</v>
      </c>
      <c r="X80" s="4" t="str">
        <f t="shared" si="1"/>
        <v>02MQ7</v>
      </c>
      <c r="Y80" s="4" t="str">
        <f>"LDCBS1X2-N"</f>
        <v>LDCBS1X2-N</v>
      </c>
      <c r="Z80" s="4" t="str">
        <f>""</f>
        <v/>
      </c>
      <c r="AA80" s="4" t="str">
        <f>""</f>
        <v/>
      </c>
      <c r="AB80" s="5">
        <v>43671</v>
      </c>
      <c r="AC80" s="4">
        <v>0</v>
      </c>
    </row>
    <row r="81" spans="1:29" ht="14.45" customHeight="1" x14ac:dyDescent="0.25">
      <c r="A81" s="4" t="s">
        <v>25</v>
      </c>
      <c r="B81" s="4" t="s">
        <v>26</v>
      </c>
      <c r="C81" s="4" t="s">
        <v>27</v>
      </c>
      <c r="D81" s="4" t="s">
        <v>28</v>
      </c>
      <c r="E81" s="4" t="s">
        <v>26</v>
      </c>
      <c r="F81" s="4" t="s">
        <v>318</v>
      </c>
      <c r="G81" s="4" t="s">
        <v>318</v>
      </c>
      <c r="H81" s="4" t="s">
        <v>319</v>
      </c>
      <c r="I81" s="4" t="s">
        <v>81</v>
      </c>
      <c r="J81" s="4" t="str">
        <f>"5985SB0061589"</f>
        <v>5985SB0061589</v>
      </c>
      <c r="K81" s="4" t="s">
        <v>82</v>
      </c>
      <c r="L81" s="4" t="str">
        <f>""</f>
        <v/>
      </c>
      <c r="M81" s="4" t="str">
        <f>""</f>
        <v/>
      </c>
      <c r="N81" s="4" t="s">
        <v>34</v>
      </c>
      <c r="O81" s="3"/>
      <c r="P81" s="3"/>
      <c r="Q81" s="3"/>
      <c r="R81" s="4" t="s">
        <v>35</v>
      </c>
      <c r="S81" s="3"/>
      <c r="T81" s="4" t="str">
        <f>""</f>
        <v/>
      </c>
      <c r="U81" s="4" t="str">
        <f>"NCIA12068722"</f>
        <v>NCIA12068722</v>
      </c>
      <c r="V81" s="4" t="str">
        <f>"196352201"</f>
        <v>196352201</v>
      </c>
      <c r="W81" s="4" t="s">
        <v>36</v>
      </c>
      <c r="X81" s="4" t="str">
        <f t="shared" si="1"/>
        <v>02MQ7</v>
      </c>
      <c r="Y81" s="4" t="str">
        <f>"LXA7S45-12X7"</f>
        <v>LXA7S45-12X7</v>
      </c>
      <c r="Z81" s="4" t="str">
        <f>""</f>
        <v/>
      </c>
      <c r="AA81" s="4" t="str">
        <f>""</f>
        <v/>
      </c>
      <c r="AB81" s="5">
        <v>44257</v>
      </c>
      <c r="AC81" s="4">
        <v>0</v>
      </c>
    </row>
    <row r="82" spans="1:29" ht="14.45" customHeight="1" x14ac:dyDescent="0.25">
      <c r="A82" s="4" t="s">
        <v>25</v>
      </c>
      <c r="B82" s="4" t="s">
        <v>26</v>
      </c>
      <c r="C82" s="4" t="s">
        <v>27</v>
      </c>
      <c r="D82" s="4" t="s">
        <v>28</v>
      </c>
      <c r="E82" s="4" t="s">
        <v>26</v>
      </c>
      <c r="F82" s="4" t="s">
        <v>318</v>
      </c>
      <c r="G82" s="4" t="s">
        <v>318</v>
      </c>
      <c r="H82" s="4" t="s">
        <v>319</v>
      </c>
      <c r="I82" s="4" t="s">
        <v>81</v>
      </c>
      <c r="J82" s="4" t="str">
        <f>"5985SB0061589"</f>
        <v>5985SB0061589</v>
      </c>
      <c r="K82" s="4" t="s">
        <v>82</v>
      </c>
      <c r="L82" s="4" t="str">
        <f>""</f>
        <v/>
      </c>
      <c r="M82" s="4" t="str">
        <f>""</f>
        <v/>
      </c>
      <c r="N82" s="4" t="s">
        <v>34</v>
      </c>
      <c r="O82" s="3"/>
      <c r="P82" s="3"/>
      <c r="Q82" s="3"/>
      <c r="R82" s="4" t="s">
        <v>35</v>
      </c>
      <c r="S82" s="3"/>
      <c r="T82" s="4" t="str">
        <f>""</f>
        <v/>
      </c>
      <c r="U82" s="4" t="str">
        <f>"NCIA12068724"</f>
        <v>NCIA12068724</v>
      </c>
      <c r="V82" s="4" t="str">
        <f>"196352401"</f>
        <v>196352401</v>
      </c>
      <c r="W82" s="4" t="s">
        <v>36</v>
      </c>
      <c r="X82" s="4" t="str">
        <f t="shared" si="1"/>
        <v>02MQ7</v>
      </c>
      <c r="Y82" s="4" t="str">
        <f>"LXA7S45-12X7"</f>
        <v>LXA7S45-12X7</v>
      </c>
      <c r="Z82" s="4" t="str">
        <f>""</f>
        <v/>
      </c>
      <c r="AA82" s="4" t="str">
        <f>""</f>
        <v/>
      </c>
      <c r="AB82" s="5">
        <v>44257</v>
      </c>
      <c r="AC82" s="4">
        <v>0</v>
      </c>
    </row>
    <row r="83" spans="1:29" ht="14.45" customHeight="1" x14ac:dyDescent="0.25">
      <c r="A83" s="4" t="s">
        <v>25</v>
      </c>
      <c r="B83" s="4" t="s">
        <v>26</v>
      </c>
      <c r="C83" s="4" t="s">
        <v>27</v>
      </c>
      <c r="D83" s="4" t="s">
        <v>28</v>
      </c>
      <c r="E83" s="4" t="s">
        <v>26</v>
      </c>
      <c r="F83" s="4" t="s">
        <v>318</v>
      </c>
      <c r="G83" s="4" t="s">
        <v>318</v>
      </c>
      <c r="H83" s="4" t="s">
        <v>319</v>
      </c>
      <c r="I83" s="4" t="s">
        <v>83</v>
      </c>
      <c r="J83" s="4" t="str">
        <f>"5995SB0003715"</f>
        <v>5995SB0003715</v>
      </c>
      <c r="K83" s="4" t="s">
        <v>84</v>
      </c>
      <c r="L83" s="4" t="str">
        <f>""</f>
        <v/>
      </c>
      <c r="M83" s="4" t="str">
        <f>""</f>
        <v/>
      </c>
      <c r="N83" s="4" t="s">
        <v>34</v>
      </c>
      <c r="O83" s="3"/>
      <c r="P83" s="3"/>
      <c r="Q83" s="3"/>
      <c r="R83" s="4" t="s">
        <v>35</v>
      </c>
      <c r="S83" s="3"/>
      <c r="T83" s="4" t="str">
        <f>"6150016214694"</f>
        <v>6150016214694</v>
      </c>
      <c r="U83" s="4" t="str">
        <f>"NCIA12009796"</f>
        <v>NCIA12009796</v>
      </c>
      <c r="V83" s="4" t="str">
        <f>"0418/0001"</f>
        <v>0418/0001</v>
      </c>
      <c r="W83" s="4" t="s">
        <v>36</v>
      </c>
      <c r="X83" s="4" t="str">
        <f t="shared" si="1"/>
        <v>02MQ7</v>
      </c>
      <c r="Y83" s="4" t="str">
        <f>"11008-05048-001"</f>
        <v>11008-05048-001</v>
      </c>
      <c r="Z83" s="4" t="str">
        <f>""</f>
        <v/>
      </c>
      <c r="AA83" s="4" t="str">
        <f>""</f>
        <v/>
      </c>
      <c r="AB83" s="5">
        <v>43657</v>
      </c>
      <c r="AC83" s="4">
        <v>0</v>
      </c>
    </row>
    <row r="84" spans="1:29" ht="14.45" customHeight="1" x14ac:dyDescent="0.25">
      <c r="A84" s="4" t="s">
        <v>25</v>
      </c>
      <c r="B84" s="4" t="s">
        <v>26</v>
      </c>
      <c r="C84" s="4" t="s">
        <v>27</v>
      </c>
      <c r="D84" s="4" t="s">
        <v>28</v>
      </c>
      <c r="E84" s="4" t="s">
        <v>26</v>
      </c>
      <c r="F84" s="4" t="s">
        <v>318</v>
      </c>
      <c r="G84" s="4" t="s">
        <v>318</v>
      </c>
      <c r="H84" s="4" t="s">
        <v>319</v>
      </c>
      <c r="I84" s="4" t="s">
        <v>83</v>
      </c>
      <c r="J84" s="4" t="str">
        <f>"5995SB0003715"</f>
        <v>5995SB0003715</v>
      </c>
      <c r="K84" s="4" t="s">
        <v>84</v>
      </c>
      <c r="L84" s="4" t="str">
        <f>""</f>
        <v/>
      </c>
      <c r="M84" s="4" t="str">
        <f>""</f>
        <v/>
      </c>
      <c r="N84" s="4" t="s">
        <v>34</v>
      </c>
      <c r="O84" s="3"/>
      <c r="P84" s="3"/>
      <c r="Q84" s="3"/>
      <c r="R84" s="4" t="s">
        <v>35</v>
      </c>
      <c r="S84" s="3"/>
      <c r="T84" s="4" t="str">
        <f>"6150016214694"</f>
        <v>6150016214694</v>
      </c>
      <c r="U84" s="4" t="str">
        <f>"NCIA12009797"</f>
        <v>NCIA12009797</v>
      </c>
      <c r="V84" s="4" t="str">
        <f>"0418/0004"</f>
        <v>0418/0004</v>
      </c>
      <c r="W84" s="4" t="s">
        <v>36</v>
      </c>
      <c r="X84" s="4" t="str">
        <f t="shared" si="1"/>
        <v>02MQ7</v>
      </c>
      <c r="Y84" s="4" t="str">
        <f>"11008-05048-001"</f>
        <v>11008-05048-001</v>
      </c>
      <c r="Z84" s="4" t="str">
        <f>""</f>
        <v/>
      </c>
      <c r="AA84" s="4" t="str">
        <f>""</f>
        <v/>
      </c>
      <c r="AB84" s="5">
        <v>43657</v>
      </c>
      <c r="AC84" s="4">
        <v>0</v>
      </c>
    </row>
    <row r="85" spans="1:29" ht="14.45" customHeight="1" x14ac:dyDescent="0.25">
      <c r="A85" s="4" t="s">
        <v>25</v>
      </c>
      <c r="B85" s="4" t="s">
        <v>26</v>
      </c>
      <c r="C85" s="4" t="s">
        <v>27</v>
      </c>
      <c r="D85" s="4" t="s">
        <v>28</v>
      </c>
      <c r="E85" s="4" t="s">
        <v>26</v>
      </c>
      <c r="F85" s="4" t="s">
        <v>318</v>
      </c>
      <c r="G85" s="4" t="s">
        <v>318</v>
      </c>
      <c r="H85" s="4" t="s">
        <v>319</v>
      </c>
      <c r="I85" s="4" t="s">
        <v>83</v>
      </c>
      <c r="J85" s="4" t="str">
        <f>"5995SB0003715"</f>
        <v>5995SB0003715</v>
      </c>
      <c r="K85" s="4" t="s">
        <v>84</v>
      </c>
      <c r="L85" s="4" t="str">
        <f>""</f>
        <v/>
      </c>
      <c r="M85" s="4" t="str">
        <f>""</f>
        <v/>
      </c>
      <c r="N85" s="4" t="s">
        <v>34</v>
      </c>
      <c r="O85" s="3"/>
      <c r="P85" s="3"/>
      <c r="Q85" s="3"/>
      <c r="R85" s="4" t="s">
        <v>35</v>
      </c>
      <c r="S85" s="3"/>
      <c r="T85" s="4" t="str">
        <f>"6150016214694"</f>
        <v>6150016214694</v>
      </c>
      <c r="U85" s="4" t="str">
        <f>"NCIA12009798"</f>
        <v>NCIA12009798</v>
      </c>
      <c r="V85" s="4" t="str">
        <f>"0418/0012"</f>
        <v>0418/0012</v>
      </c>
      <c r="W85" s="4" t="s">
        <v>36</v>
      </c>
      <c r="X85" s="4" t="str">
        <f t="shared" si="1"/>
        <v>02MQ7</v>
      </c>
      <c r="Y85" s="4" t="str">
        <f>"11008-05048-001"</f>
        <v>11008-05048-001</v>
      </c>
      <c r="Z85" s="4" t="str">
        <f>""</f>
        <v/>
      </c>
      <c r="AA85" s="4" t="str">
        <f>""</f>
        <v/>
      </c>
      <c r="AB85" s="5">
        <v>43657</v>
      </c>
      <c r="AC85" s="4">
        <v>0</v>
      </c>
    </row>
    <row r="86" spans="1:29" ht="14.45" customHeight="1" x14ac:dyDescent="0.25">
      <c r="A86" s="4" t="s">
        <v>25</v>
      </c>
      <c r="B86" s="4" t="s">
        <v>26</v>
      </c>
      <c r="C86" s="4" t="s">
        <v>27</v>
      </c>
      <c r="D86" s="4" t="s">
        <v>28</v>
      </c>
      <c r="E86" s="4" t="s">
        <v>26</v>
      </c>
      <c r="F86" s="4" t="s">
        <v>318</v>
      </c>
      <c r="G86" s="4" t="s">
        <v>318</v>
      </c>
      <c r="H86" s="4" t="s">
        <v>319</v>
      </c>
      <c r="I86" s="4" t="s">
        <v>85</v>
      </c>
      <c r="J86" s="4" t="str">
        <f>"5996SB0001968"</f>
        <v>5996SB0001968</v>
      </c>
      <c r="K86" s="4" t="s">
        <v>86</v>
      </c>
      <c r="L86" s="4" t="str">
        <f>""</f>
        <v/>
      </c>
      <c r="M86" s="4" t="str">
        <f>""</f>
        <v/>
      </c>
      <c r="N86" s="4" t="s">
        <v>34</v>
      </c>
      <c r="O86" s="3"/>
      <c r="P86" s="3"/>
      <c r="Q86" s="3"/>
      <c r="R86" s="4" t="s">
        <v>35</v>
      </c>
      <c r="S86" s="3"/>
      <c r="T86" s="4" t="str">
        <f>"L207155-1"</f>
        <v>L207155-1</v>
      </c>
      <c r="U86" s="4" t="str">
        <f>"01-117090"</f>
        <v>01-117090</v>
      </c>
      <c r="V86" s="4" t="str">
        <f>"202024"</f>
        <v>202024</v>
      </c>
      <c r="W86" s="4" t="s">
        <v>36</v>
      </c>
      <c r="X86" s="4" t="str">
        <f>"1GLV3"</f>
        <v>1GLV3</v>
      </c>
      <c r="Y86" s="4" t="str">
        <f>"L207155-1"</f>
        <v>L207155-1</v>
      </c>
      <c r="Z86" s="4" t="str">
        <f>""</f>
        <v/>
      </c>
      <c r="AA86" s="4" t="str">
        <f>""</f>
        <v/>
      </c>
      <c r="AB86" s="5">
        <v>43465</v>
      </c>
      <c r="AC86" s="6">
        <v>2.96456980533333E+16</v>
      </c>
    </row>
    <row r="87" spans="1:29" ht="14.45" customHeight="1" x14ac:dyDescent="0.25">
      <c r="A87" s="4" t="s">
        <v>25</v>
      </c>
      <c r="B87" s="4" t="s">
        <v>26</v>
      </c>
      <c r="C87" s="4" t="s">
        <v>27</v>
      </c>
      <c r="D87" s="4" t="s">
        <v>28</v>
      </c>
      <c r="E87" s="4" t="s">
        <v>26</v>
      </c>
      <c r="F87" s="4" t="s">
        <v>318</v>
      </c>
      <c r="G87" s="4" t="s">
        <v>318</v>
      </c>
      <c r="H87" s="4" t="s">
        <v>319</v>
      </c>
      <c r="I87" s="4" t="s">
        <v>85</v>
      </c>
      <c r="J87" s="4" t="str">
        <f>"5996SB0001968"</f>
        <v>5996SB0001968</v>
      </c>
      <c r="K87" s="4" t="s">
        <v>86</v>
      </c>
      <c r="L87" s="4" t="str">
        <f>""</f>
        <v/>
      </c>
      <c r="M87" s="4" t="str">
        <f>""</f>
        <v/>
      </c>
      <c r="N87" s="4" t="s">
        <v>34</v>
      </c>
      <c r="O87" s="3"/>
      <c r="P87" s="3"/>
      <c r="Q87" s="3"/>
      <c r="R87" s="4" t="s">
        <v>35</v>
      </c>
      <c r="S87" s="3"/>
      <c r="T87" s="4" t="str">
        <f>"L207155-1"</f>
        <v>L207155-1</v>
      </c>
      <c r="U87" s="4" t="str">
        <f>"01-117091"</f>
        <v>01-117091</v>
      </c>
      <c r="V87" s="4" t="str">
        <f>"202097"</f>
        <v>202097</v>
      </c>
      <c r="W87" s="4" t="s">
        <v>36</v>
      </c>
      <c r="X87" s="4" t="str">
        <f>"1GLV3"</f>
        <v>1GLV3</v>
      </c>
      <c r="Y87" s="4" t="str">
        <f>"L207155-1"</f>
        <v>L207155-1</v>
      </c>
      <c r="Z87" s="4" t="str">
        <f>""</f>
        <v/>
      </c>
      <c r="AA87" s="4" t="str">
        <f>""</f>
        <v/>
      </c>
      <c r="AB87" s="5">
        <v>43465</v>
      </c>
      <c r="AC87" s="6">
        <v>2.96456980533333E+16</v>
      </c>
    </row>
    <row r="88" spans="1:29" ht="14.45" customHeight="1" x14ac:dyDescent="0.25">
      <c r="A88" s="4" t="s">
        <v>25</v>
      </c>
      <c r="B88" s="4" t="s">
        <v>26</v>
      </c>
      <c r="C88" s="4" t="s">
        <v>27</v>
      </c>
      <c r="D88" s="4" t="s">
        <v>28</v>
      </c>
      <c r="E88" s="4" t="s">
        <v>26</v>
      </c>
      <c r="F88" s="4" t="s">
        <v>318</v>
      </c>
      <c r="G88" s="4" t="s">
        <v>318</v>
      </c>
      <c r="H88" s="4" t="s">
        <v>319</v>
      </c>
      <c r="I88" s="4" t="s">
        <v>328</v>
      </c>
      <c r="J88" s="4" t="str">
        <f>"5998SB0003444"</f>
        <v>5998SB0003444</v>
      </c>
      <c r="K88" s="4" t="s">
        <v>329</v>
      </c>
      <c r="L88" s="4" t="str">
        <f>""</f>
        <v/>
      </c>
      <c r="M88" s="4" t="str">
        <f>""</f>
        <v/>
      </c>
      <c r="N88" s="4" t="s">
        <v>34</v>
      </c>
      <c r="O88" s="3"/>
      <c r="P88" s="3"/>
      <c r="Q88" s="3"/>
      <c r="R88" s="4" t="s">
        <v>35</v>
      </c>
      <c r="S88" s="3"/>
      <c r="T88" s="4" t="str">
        <f>"DXC-M-E3/ST/13L"</f>
        <v>DXC-M-E3/ST/13L</v>
      </c>
      <c r="U88" s="4" t="str">
        <f>"01-117086"</f>
        <v>01-117086</v>
      </c>
      <c r="V88" s="4" t="str">
        <f>"920011965"</f>
        <v>920011965</v>
      </c>
      <c r="W88" s="4" t="s">
        <v>36</v>
      </c>
      <c r="X88" s="4" t="str">
        <f>"02MQ7"</f>
        <v>02MQ7</v>
      </c>
      <c r="Y88" s="4" t="str">
        <f>"DXC-M-E3/SC13L"</f>
        <v>DXC-M-E3/SC13L</v>
      </c>
      <c r="Z88" s="4" t="str">
        <f>""</f>
        <v/>
      </c>
      <c r="AA88" s="4" t="str">
        <f>""</f>
        <v/>
      </c>
      <c r="AB88" s="5">
        <v>43465</v>
      </c>
      <c r="AC88" s="4">
        <v>4050</v>
      </c>
    </row>
    <row r="89" spans="1:29" ht="14.45" customHeight="1" x14ac:dyDescent="0.25">
      <c r="A89" s="4" t="s">
        <v>25</v>
      </c>
      <c r="B89" s="4" t="s">
        <v>26</v>
      </c>
      <c r="C89" s="4" t="s">
        <v>27</v>
      </c>
      <c r="D89" s="4" t="s">
        <v>28</v>
      </c>
      <c r="E89" s="4" t="s">
        <v>26</v>
      </c>
      <c r="F89" s="4" t="s">
        <v>318</v>
      </c>
      <c r="G89" s="4" t="s">
        <v>318</v>
      </c>
      <c r="H89" s="4" t="s">
        <v>319</v>
      </c>
      <c r="I89" s="4" t="s">
        <v>328</v>
      </c>
      <c r="J89" s="4" t="str">
        <f>"5998SB0003444"</f>
        <v>5998SB0003444</v>
      </c>
      <c r="K89" s="4" t="s">
        <v>329</v>
      </c>
      <c r="L89" s="4" t="str">
        <f>""</f>
        <v/>
      </c>
      <c r="M89" s="4" t="str">
        <f>""</f>
        <v/>
      </c>
      <c r="N89" s="4" t="s">
        <v>34</v>
      </c>
      <c r="O89" s="3"/>
      <c r="P89" s="3"/>
      <c r="Q89" s="3"/>
      <c r="R89" s="4" t="s">
        <v>35</v>
      </c>
      <c r="S89" s="3"/>
      <c r="T89" s="4" t="str">
        <f>"DXC-M-E3/ST/13L"</f>
        <v>DXC-M-E3/ST/13L</v>
      </c>
      <c r="U89" s="4" t="str">
        <f>"01-117087"</f>
        <v>01-117087</v>
      </c>
      <c r="V89" s="4" t="str">
        <f>"920011941"</f>
        <v>920011941</v>
      </c>
      <c r="W89" s="4" t="s">
        <v>36</v>
      </c>
      <c r="X89" s="4" t="str">
        <f>"02MQ7"</f>
        <v>02MQ7</v>
      </c>
      <c r="Y89" s="4" t="str">
        <f>"DXC-M-E3/SC13L"</f>
        <v>DXC-M-E3/SC13L</v>
      </c>
      <c r="Z89" s="4" t="str">
        <f>""</f>
        <v/>
      </c>
      <c r="AA89" s="4" t="str">
        <f>""</f>
        <v/>
      </c>
      <c r="AB89" s="5">
        <v>43465</v>
      </c>
      <c r="AC89" s="4">
        <v>4050</v>
      </c>
    </row>
    <row r="90" spans="1:29" ht="14.45" customHeight="1" x14ac:dyDescent="0.25">
      <c r="A90" s="4" t="s">
        <v>25</v>
      </c>
      <c r="B90" s="4" t="s">
        <v>26</v>
      </c>
      <c r="C90" s="4" t="s">
        <v>27</v>
      </c>
      <c r="D90" s="4" t="s">
        <v>28</v>
      </c>
      <c r="E90" s="4" t="s">
        <v>26</v>
      </c>
      <c r="F90" s="4" t="s">
        <v>318</v>
      </c>
      <c r="G90" s="4" t="s">
        <v>318</v>
      </c>
      <c r="H90" s="4" t="s">
        <v>319</v>
      </c>
      <c r="I90" s="4" t="s">
        <v>330</v>
      </c>
      <c r="J90" s="4" t="str">
        <f>"5998SB0003930"</f>
        <v>5998SB0003930</v>
      </c>
      <c r="K90" s="4" t="s">
        <v>331</v>
      </c>
      <c r="L90" s="4" t="str">
        <f>""</f>
        <v/>
      </c>
      <c r="M90" s="4" t="str">
        <f>""</f>
        <v/>
      </c>
      <c r="N90" s="4" t="s">
        <v>34</v>
      </c>
      <c r="O90" s="3"/>
      <c r="P90" s="3"/>
      <c r="Q90" s="3"/>
      <c r="R90" s="4" t="s">
        <v>35</v>
      </c>
      <c r="S90" s="3"/>
      <c r="T90" s="4" t="str">
        <f>"SPA-4XT-SERIAL"</f>
        <v>SPA-4XT-SERIAL</v>
      </c>
      <c r="U90" s="4" t="str">
        <f>"NCIA12008734"</f>
        <v>NCIA12008734</v>
      </c>
      <c r="V90" s="4" t="str">
        <f>"SAL211803EU"</f>
        <v>SAL211803EU</v>
      </c>
      <c r="W90" s="4" t="s">
        <v>36</v>
      </c>
      <c r="X90" s="4" t="str">
        <f>"0GX96"</f>
        <v>0GX96</v>
      </c>
      <c r="Y90" s="4" t="str">
        <f>"SPA-4XT-SERIAL"</f>
        <v>SPA-4XT-SERIAL</v>
      </c>
      <c r="Z90" s="4" t="str">
        <f>""</f>
        <v/>
      </c>
      <c r="AA90" s="4" t="str">
        <f>""</f>
        <v/>
      </c>
      <c r="AB90" s="5">
        <v>43630</v>
      </c>
      <c r="AC90" s="4">
        <v>0</v>
      </c>
    </row>
    <row r="91" spans="1:29" ht="14.45" customHeight="1" x14ac:dyDescent="0.25">
      <c r="A91" s="4" t="s">
        <v>25</v>
      </c>
      <c r="B91" s="4" t="s">
        <v>26</v>
      </c>
      <c r="C91" s="4" t="s">
        <v>27</v>
      </c>
      <c r="D91" s="4" t="s">
        <v>28</v>
      </c>
      <c r="E91" s="4" t="s">
        <v>26</v>
      </c>
      <c r="F91" s="4" t="s">
        <v>318</v>
      </c>
      <c r="G91" s="4" t="s">
        <v>318</v>
      </c>
      <c r="H91" s="4" t="s">
        <v>319</v>
      </c>
      <c r="I91" s="4" t="s">
        <v>330</v>
      </c>
      <c r="J91" s="4" t="str">
        <f>"5998SB0003930"</f>
        <v>5998SB0003930</v>
      </c>
      <c r="K91" s="4" t="s">
        <v>331</v>
      </c>
      <c r="L91" s="4" t="str">
        <f>""</f>
        <v/>
      </c>
      <c r="M91" s="4" t="str">
        <f>""</f>
        <v/>
      </c>
      <c r="N91" s="4" t="s">
        <v>34</v>
      </c>
      <c r="O91" s="3"/>
      <c r="P91" s="3"/>
      <c r="Q91" s="3"/>
      <c r="R91" s="4" t="s">
        <v>35</v>
      </c>
      <c r="S91" s="3"/>
      <c r="T91" s="4" t="str">
        <f>"SPA-4XT-SERIAL"</f>
        <v>SPA-4XT-SERIAL</v>
      </c>
      <c r="U91" s="4" t="str">
        <f>"NCIA12008735"</f>
        <v>NCIA12008735</v>
      </c>
      <c r="V91" s="4" t="str">
        <f>"SAL211803HZ"</f>
        <v>SAL211803HZ</v>
      </c>
      <c r="W91" s="4" t="s">
        <v>36</v>
      </c>
      <c r="X91" s="4" t="str">
        <f>"0GX96"</f>
        <v>0GX96</v>
      </c>
      <c r="Y91" s="4" t="str">
        <f>"SPA-4XT-SERIAL"</f>
        <v>SPA-4XT-SERIAL</v>
      </c>
      <c r="Z91" s="4" t="str">
        <f>""</f>
        <v/>
      </c>
      <c r="AA91" s="4" t="str">
        <f>""</f>
        <v/>
      </c>
      <c r="AB91" s="5">
        <v>43630</v>
      </c>
      <c r="AC91" s="4">
        <v>0</v>
      </c>
    </row>
    <row r="92" spans="1:29" ht="14.45" customHeight="1" x14ac:dyDescent="0.25">
      <c r="A92" s="4" t="s">
        <v>25</v>
      </c>
      <c r="B92" s="4" t="s">
        <v>26</v>
      </c>
      <c r="C92" s="4" t="s">
        <v>27</v>
      </c>
      <c r="D92" s="4" t="s">
        <v>28</v>
      </c>
      <c r="E92" s="4" t="s">
        <v>26</v>
      </c>
      <c r="F92" s="4" t="s">
        <v>318</v>
      </c>
      <c r="G92" s="4" t="s">
        <v>318</v>
      </c>
      <c r="H92" s="4" t="s">
        <v>319</v>
      </c>
      <c r="I92" s="4" t="s">
        <v>51</v>
      </c>
      <c r="J92" s="4" t="str">
        <f>"5998SB0005481"</f>
        <v>5998SB0005481</v>
      </c>
      <c r="K92" s="4" t="s">
        <v>332</v>
      </c>
      <c r="L92" s="4" t="str">
        <f>""</f>
        <v/>
      </c>
      <c r="M92" s="4" t="str">
        <f>""</f>
        <v/>
      </c>
      <c r="N92" s="4" t="s">
        <v>34</v>
      </c>
      <c r="O92" s="3"/>
      <c r="P92" s="3"/>
      <c r="Q92" s="3"/>
      <c r="R92" s="4" t="s">
        <v>35</v>
      </c>
      <c r="S92" s="3"/>
      <c r="T92" s="4" t="str">
        <f>"DXC-M/HS/ETUP"</f>
        <v>DXC-M/HS/ETUP</v>
      </c>
      <c r="U92" s="4" t="str">
        <f>"01-117082"</f>
        <v>01-117082</v>
      </c>
      <c r="V92" s="4" t="str">
        <f>"920011942"</f>
        <v>920011942</v>
      </c>
      <c r="W92" s="4" t="s">
        <v>36</v>
      </c>
      <c r="X92" s="4" t="str">
        <f t="shared" ref="X92:X97" si="2">"02MQ7"</f>
        <v>02MQ7</v>
      </c>
      <c r="Y92" s="4" t="str">
        <f>"DXC-M/HS/ETUP"</f>
        <v>DXC-M/HS/ETUP</v>
      </c>
      <c r="Z92" s="4" t="str">
        <f>""</f>
        <v/>
      </c>
      <c r="AA92" s="4" t="str">
        <f>""</f>
        <v/>
      </c>
      <c r="AB92" s="5">
        <v>43465</v>
      </c>
      <c r="AC92" s="4">
        <v>836.71</v>
      </c>
    </row>
    <row r="93" spans="1:29" ht="14.45" customHeight="1" x14ac:dyDescent="0.25">
      <c r="A93" s="4" t="s">
        <v>25</v>
      </c>
      <c r="B93" s="4" t="s">
        <v>26</v>
      </c>
      <c r="C93" s="4" t="s">
        <v>27</v>
      </c>
      <c r="D93" s="4" t="s">
        <v>28</v>
      </c>
      <c r="E93" s="4" t="s">
        <v>26</v>
      </c>
      <c r="F93" s="4" t="s">
        <v>318</v>
      </c>
      <c r="G93" s="4" t="s">
        <v>318</v>
      </c>
      <c r="H93" s="4" t="s">
        <v>319</v>
      </c>
      <c r="I93" s="4" t="s">
        <v>51</v>
      </c>
      <c r="J93" s="4" t="str">
        <f>"5998SB0005481"</f>
        <v>5998SB0005481</v>
      </c>
      <c r="K93" s="4" t="s">
        <v>332</v>
      </c>
      <c r="L93" s="4" t="str">
        <f>""</f>
        <v/>
      </c>
      <c r="M93" s="4" t="str">
        <f>""</f>
        <v/>
      </c>
      <c r="N93" s="4" t="s">
        <v>34</v>
      </c>
      <c r="O93" s="3"/>
      <c r="P93" s="3"/>
      <c r="Q93" s="3"/>
      <c r="R93" s="4" t="s">
        <v>35</v>
      </c>
      <c r="S93" s="3"/>
      <c r="T93" s="4" t="str">
        <f>"DXC-M/HS/ETUP"</f>
        <v>DXC-M/HS/ETUP</v>
      </c>
      <c r="U93" s="4" t="str">
        <f>"01-117083"</f>
        <v>01-117083</v>
      </c>
      <c r="V93" s="4" t="str">
        <f>"920011964"</f>
        <v>920011964</v>
      </c>
      <c r="W93" s="4" t="s">
        <v>36</v>
      </c>
      <c r="X93" s="4" t="str">
        <f t="shared" si="2"/>
        <v>02MQ7</v>
      </c>
      <c r="Y93" s="4" t="str">
        <f>"DXC-M/HS/ETUP"</f>
        <v>DXC-M/HS/ETUP</v>
      </c>
      <c r="Z93" s="4" t="str">
        <f>""</f>
        <v/>
      </c>
      <c r="AA93" s="4" t="str">
        <f>""</f>
        <v/>
      </c>
      <c r="AB93" s="5">
        <v>43465</v>
      </c>
      <c r="AC93" s="4">
        <v>836.71</v>
      </c>
    </row>
    <row r="94" spans="1:29" ht="14.45" customHeight="1" x14ac:dyDescent="0.25">
      <c r="A94" s="4" t="s">
        <v>25</v>
      </c>
      <c r="B94" s="4" t="s">
        <v>26</v>
      </c>
      <c r="C94" s="4" t="s">
        <v>27</v>
      </c>
      <c r="D94" s="4" t="s">
        <v>28</v>
      </c>
      <c r="E94" s="4" t="s">
        <v>26</v>
      </c>
      <c r="F94" s="4" t="s">
        <v>318</v>
      </c>
      <c r="G94" s="4" t="s">
        <v>318</v>
      </c>
      <c r="H94" s="4" t="s">
        <v>319</v>
      </c>
      <c r="I94" s="4" t="s">
        <v>51</v>
      </c>
      <c r="J94" s="4" t="str">
        <f>"5998SB0005932"</f>
        <v>5998SB0005932</v>
      </c>
      <c r="K94" s="4" t="s">
        <v>333</v>
      </c>
      <c r="L94" s="4" t="str">
        <f>""</f>
        <v/>
      </c>
      <c r="M94" s="4" t="str">
        <f>""</f>
        <v/>
      </c>
      <c r="N94" s="4" t="s">
        <v>34</v>
      </c>
      <c r="O94" s="3"/>
      <c r="P94" s="3"/>
      <c r="Q94" s="3"/>
      <c r="R94" s="4" t="s">
        <v>35</v>
      </c>
      <c r="S94" s="3"/>
      <c r="T94" s="4" t="str">
        <f>"DXC-M/HS/530"</f>
        <v>DXC-M/HS/530</v>
      </c>
      <c r="U94" s="4" t="str">
        <f>"01-117078"</f>
        <v>01-117078</v>
      </c>
      <c r="V94" s="4" t="str">
        <f>"920011955"</f>
        <v>920011955</v>
      </c>
      <c r="W94" s="4" t="s">
        <v>36</v>
      </c>
      <c r="X94" s="4" t="str">
        <f t="shared" si="2"/>
        <v>02MQ7</v>
      </c>
      <c r="Y94" s="4" t="str">
        <f>"DXC-M/HS/530"</f>
        <v>DXC-M/HS/530</v>
      </c>
      <c r="Z94" s="4" t="str">
        <f>""</f>
        <v/>
      </c>
      <c r="AA94" s="4" t="str">
        <f>""</f>
        <v/>
      </c>
      <c r="AB94" s="5">
        <v>43465</v>
      </c>
      <c r="AC94" s="6">
        <v>4837780352</v>
      </c>
    </row>
    <row r="95" spans="1:29" ht="14.45" customHeight="1" x14ac:dyDescent="0.25">
      <c r="A95" s="4" t="s">
        <v>25</v>
      </c>
      <c r="B95" s="4" t="s">
        <v>26</v>
      </c>
      <c r="C95" s="4" t="s">
        <v>27</v>
      </c>
      <c r="D95" s="4" t="s">
        <v>28</v>
      </c>
      <c r="E95" s="4" t="s">
        <v>26</v>
      </c>
      <c r="F95" s="4" t="s">
        <v>318</v>
      </c>
      <c r="G95" s="4" t="s">
        <v>318</v>
      </c>
      <c r="H95" s="4" t="s">
        <v>319</v>
      </c>
      <c r="I95" s="4" t="s">
        <v>51</v>
      </c>
      <c r="J95" s="4" t="str">
        <f>"5998SB0005932"</f>
        <v>5998SB0005932</v>
      </c>
      <c r="K95" s="4" t="s">
        <v>333</v>
      </c>
      <c r="L95" s="4" t="str">
        <f>""</f>
        <v/>
      </c>
      <c r="M95" s="4" t="str">
        <f>""</f>
        <v/>
      </c>
      <c r="N95" s="4" t="s">
        <v>34</v>
      </c>
      <c r="O95" s="3"/>
      <c r="P95" s="3"/>
      <c r="Q95" s="3"/>
      <c r="R95" s="4" t="s">
        <v>35</v>
      </c>
      <c r="S95" s="3"/>
      <c r="T95" s="4" t="str">
        <f>"DXC-M/HS/530"</f>
        <v>DXC-M/HS/530</v>
      </c>
      <c r="U95" s="4" t="str">
        <f>"01-117079"</f>
        <v>01-117079</v>
      </c>
      <c r="V95" s="4" t="str">
        <f>"920011954"</f>
        <v>920011954</v>
      </c>
      <c r="W95" s="4" t="s">
        <v>36</v>
      </c>
      <c r="X95" s="4" t="str">
        <f t="shared" si="2"/>
        <v>02MQ7</v>
      </c>
      <c r="Y95" s="4" t="str">
        <f>"DXC-M/HS/530"</f>
        <v>DXC-M/HS/530</v>
      </c>
      <c r="Z95" s="4" t="str">
        <f>""</f>
        <v/>
      </c>
      <c r="AA95" s="4" t="str">
        <f>""</f>
        <v/>
      </c>
      <c r="AB95" s="5">
        <v>43465</v>
      </c>
      <c r="AC95" s="6">
        <v>4837780352</v>
      </c>
    </row>
    <row r="96" spans="1:29" ht="14.45" customHeight="1" x14ac:dyDescent="0.25">
      <c r="A96" s="4" t="s">
        <v>25</v>
      </c>
      <c r="B96" s="4" t="s">
        <v>26</v>
      </c>
      <c r="C96" s="4" t="s">
        <v>27</v>
      </c>
      <c r="D96" s="4" t="s">
        <v>28</v>
      </c>
      <c r="E96" s="4" t="s">
        <v>26</v>
      </c>
      <c r="F96" s="4" t="s">
        <v>318</v>
      </c>
      <c r="G96" s="4" t="s">
        <v>318</v>
      </c>
      <c r="H96" s="4" t="s">
        <v>319</v>
      </c>
      <c r="I96" s="4" t="s">
        <v>51</v>
      </c>
      <c r="J96" s="4" t="str">
        <f>"5998SB0005932"</f>
        <v>5998SB0005932</v>
      </c>
      <c r="K96" s="4" t="s">
        <v>333</v>
      </c>
      <c r="L96" s="4" t="str">
        <f>""</f>
        <v/>
      </c>
      <c r="M96" s="4" t="str">
        <f>""</f>
        <v/>
      </c>
      <c r="N96" s="4" t="s">
        <v>34</v>
      </c>
      <c r="O96" s="3"/>
      <c r="P96" s="3"/>
      <c r="Q96" s="3"/>
      <c r="R96" s="4" t="s">
        <v>35</v>
      </c>
      <c r="S96" s="3"/>
      <c r="T96" s="4" t="str">
        <f>"DXC-M/HS/530"</f>
        <v>DXC-M/HS/530</v>
      </c>
      <c r="U96" s="4" t="str">
        <f>"01-117080"</f>
        <v>01-117080</v>
      </c>
      <c r="V96" s="4" t="str">
        <f>"920011953"</f>
        <v>920011953</v>
      </c>
      <c r="W96" s="4" t="s">
        <v>36</v>
      </c>
      <c r="X96" s="4" t="str">
        <f t="shared" si="2"/>
        <v>02MQ7</v>
      </c>
      <c r="Y96" s="4" t="str">
        <f>"DXC-M/HS/530"</f>
        <v>DXC-M/HS/530</v>
      </c>
      <c r="Z96" s="4" t="str">
        <f>""</f>
        <v/>
      </c>
      <c r="AA96" s="4" t="str">
        <f>""</f>
        <v/>
      </c>
      <c r="AB96" s="5">
        <v>43465</v>
      </c>
      <c r="AC96" s="6">
        <v>4837780352</v>
      </c>
    </row>
    <row r="97" spans="1:29" ht="14.45" customHeight="1" x14ac:dyDescent="0.25">
      <c r="A97" s="4" t="s">
        <v>25</v>
      </c>
      <c r="B97" s="4" t="s">
        <v>26</v>
      </c>
      <c r="C97" s="4" t="s">
        <v>27</v>
      </c>
      <c r="D97" s="4" t="s">
        <v>28</v>
      </c>
      <c r="E97" s="4" t="s">
        <v>26</v>
      </c>
      <c r="F97" s="4" t="s">
        <v>318</v>
      </c>
      <c r="G97" s="4" t="s">
        <v>318</v>
      </c>
      <c r="H97" s="4" t="s">
        <v>319</v>
      </c>
      <c r="I97" s="4" t="s">
        <v>51</v>
      </c>
      <c r="J97" s="4" t="str">
        <f>"5998SB0005932"</f>
        <v>5998SB0005932</v>
      </c>
      <c r="K97" s="4" t="s">
        <v>333</v>
      </c>
      <c r="L97" s="4" t="str">
        <f>""</f>
        <v/>
      </c>
      <c r="M97" s="4" t="str">
        <f>""</f>
        <v/>
      </c>
      <c r="N97" s="4" t="s">
        <v>34</v>
      </c>
      <c r="O97" s="3"/>
      <c r="P97" s="3"/>
      <c r="Q97" s="3"/>
      <c r="R97" s="4" t="s">
        <v>35</v>
      </c>
      <c r="S97" s="3"/>
      <c r="T97" s="4" t="str">
        <f>"DXC-M/HS/530"</f>
        <v>DXC-M/HS/530</v>
      </c>
      <c r="U97" s="4" t="str">
        <f>"01-117081"</f>
        <v>01-117081</v>
      </c>
      <c r="V97" s="4" t="str">
        <f>"920011936"</f>
        <v>920011936</v>
      </c>
      <c r="W97" s="4" t="s">
        <v>36</v>
      </c>
      <c r="X97" s="4" t="str">
        <f t="shared" si="2"/>
        <v>02MQ7</v>
      </c>
      <c r="Y97" s="4" t="str">
        <f>"DXC-M/HS/530"</f>
        <v>DXC-M/HS/530</v>
      </c>
      <c r="Z97" s="4" t="str">
        <f>""</f>
        <v/>
      </c>
      <c r="AA97" s="4" t="str">
        <f>""</f>
        <v/>
      </c>
      <c r="AB97" s="5">
        <v>43465</v>
      </c>
      <c r="AC97" s="6">
        <v>4837780352</v>
      </c>
    </row>
    <row r="98" spans="1:29" ht="14.45" customHeight="1" x14ac:dyDescent="0.25">
      <c r="A98" s="4" t="s">
        <v>25</v>
      </c>
      <c r="B98" s="4" t="s">
        <v>26</v>
      </c>
      <c r="C98" s="4" t="s">
        <v>27</v>
      </c>
      <c r="D98" s="4" t="s">
        <v>28</v>
      </c>
      <c r="E98" s="4" t="s">
        <v>26</v>
      </c>
      <c r="F98" s="4" t="s">
        <v>318</v>
      </c>
      <c r="G98" s="4" t="s">
        <v>318</v>
      </c>
      <c r="H98" s="4" t="s">
        <v>319</v>
      </c>
      <c r="I98" s="4" t="s">
        <v>68</v>
      </c>
      <c r="J98" s="4" t="str">
        <f t="shared" ref="J98:J104" si="3">"5998SB0039087"</f>
        <v>5998SB0039087</v>
      </c>
      <c r="K98" s="4" t="s">
        <v>92</v>
      </c>
      <c r="L98" s="4" t="str">
        <f>""</f>
        <v/>
      </c>
      <c r="M98" s="4" t="str">
        <f>""</f>
        <v/>
      </c>
      <c r="N98" s="4" t="s">
        <v>34</v>
      </c>
      <c r="O98" s="3"/>
      <c r="P98" s="3"/>
      <c r="Q98" s="3"/>
      <c r="R98" s="4" t="s">
        <v>35</v>
      </c>
      <c r="S98" s="3"/>
      <c r="T98" s="4" t="str">
        <f>""</f>
        <v/>
      </c>
      <c r="U98" s="4" t="str">
        <f>"NCIA10371881"</f>
        <v>NCIA10371881</v>
      </c>
      <c r="V98" s="4" t="str">
        <f>"10PR00000822200012"</f>
        <v>10PR00000822200012</v>
      </c>
      <c r="W98" s="4" t="s">
        <v>36</v>
      </c>
      <c r="X98" s="4" t="str">
        <f t="shared" ref="X98:X104" si="4">"0VMZ0"</f>
        <v>0VMZ0</v>
      </c>
      <c r="Y98" s="4" t="str">
        <f t="shared" ref="Y98:Y104" si="5">"FMPE30.48G"</f>
        <v>FMPE30.48G</v>
      </c>
      <c r="Z98" s="4" t="str">
        <f>""</f>
        <v/>
      </c>
      <c r="AA98" s="4" t="str">
        <f>""</f>
        <v/>
      </c>
      <c r="AB98" s="5">
        <v>43465</v>
      </c>
      <c r="AC98" s="6">
        <v>3815914634146340</v>
      </c>
    </row>
    <row r="99" spans="1:29" ht="14.45" customHeight="1" x14ac:dyDescent="0.25">
      <c r="A99" s="4" t="s">
        <v>25</v>
      </c>
      <c r="B99" s="4" t="s">
        <v>26</v>
      </c>
      <c r="C99" s="4" t="s">
        <v>27</v>
      </c>
      <c r="D99" s="4" t="s">
        <v>28</v>
      </c>
      <c r="E99" s="4" t="s">
        <v>26</v>
      </c>
      <c r="F99" s="4" t="s">
        <v>318</v>
      </c>
      <c r="G99" s="4" t="s">
        <v>318</v>
      </c>
      <c r="H99" s="4" t="s">
        <v>319</v>
      </c>
      <c r="I99" s="4" t="s">
        <v>68</v>
      </c>
      <c r="J99" s="4" t="str">
        <f t="shared" si="3"/>
        <v>5998SB0039087</v>
      </c>
      <c r="K99" s="4" t="s">
        <v>92</v>
      </c>
      <c r="L99" s="4" t="str">
        <f>""</f>
        <v/>
      </c>
      <c r="M99" s="4" t="str">
        <f>""</f>
        <v/>
      </c>
      <c r="N99" s="4" t="s">
        <v>34</v>
      </c>
      <c r="O99" s="3"/>
      <c r="P99" s="3"/>
      <c r="Q99" s="3"/>
      <c r="R99" s="4" t="s">
        <v>35</v>
      </c>
      <c r="S99" s="3"/>
      <c r="T99" s="4" t="str">
        <f>""</f>
        <v/>
      </c>
      <c r="U99" s="4" t="str">
        <f>"NCIA10371882"</f>
        <v>NCIA10371882</v>
      </c>
      <c r="V99" s="4" t="str">
        <f>"10PR00000422200099"</f>
        <v>10PR00000422200099</v>
      </c>
      <c r="W99" s="4" t="s">
        <v>36</v>
      </c>
      <c r="X99" s="4" t="str">
        <f t="shared" si="4"/>
        <v>0VMZ0</v>
      </c>
      <c r="Y99" s="4" t="str">
        <f t="shared" si="5"/>
        <v>FMPE30.48G</v>
      </c>
      <c r="Z99" s="4" t="str">
        <f>""</f>
        <v/>
      </c>
      <c r="AA99" s="4" t="str">
        <f>""</f>
        <v/>
      </c>
      <c r="AB99" s="5">
        <v>43465</v>
      </c>
      <c r="AC99" s="6">
        <v>3815914634146340</v>
      </c>
    </row>
    <row r="100" spans="1:29" ht="14.45" customHeight="1" x14ac:dyDescent="0.25">
      <c r="A100" s="4" t="s">
        <v>25</v>
      </c>
      <c r="B100" s="4" t="s">
        <v>26</v>
      </c>
      <c r="C100" s="4" t="s">
        <v>27</v>
      </c>
      <c r="D100" s="4" t="s">
        <v>28</v>
      </c>
      <c r="E100" s="4" t="s">
        <v>26</v>
      </c>
      <c r="F100" s="4" t="s">
        <v>318</v>
      </c>
      <c r="G100" s="4" t="s">
        <v>318</v>
      </c>
      <c r="H100" s="4" t="s">
        <v>319</v>
      </c>
      <c r="I100" s="4" t="s">
        <v>68</v>
      </c>
      <c r="J100" s="4" t="str">
        <f t="shared" si="3"/>
        <v>5998SB0039087</v>
      </c>
      <c r="K100" s="4" t="s">
        <v>92</v>
      </c>
      <c r="L100" s="4" t="str">
        <f>""</f>
        <v/>
      </c>
      <c r="M100" s="4" t="str">
        <f>""</f>
        <v/>
      </c>
      <c r="N100" s="4" t="s">
        <v>34</v>
      </c>
      <c r="O100" s="3"/>
      <c r="P100" s="3"/>
      <c r="Q100" s="3"/>
      <c r="R100" s="4" t="s">
        <v>35</v>
      </c>
      <c r="S100" s="3"/>
      <c r="T100" s="4" t="str">
        <f>""</f>
        <v/>
      </c>
      <c r="U100" s="4" t="str">
        <f>"NCIA10371883"</f>
        <v>NCIA10371883</v>
      </c>
      <c r="V100" s="4" t="str">
        <f>"10PR00000522200079"</f>
        <v>10PR00000522200079</v>
      </c>
      <c r="W100" s="4" t="s">
        <v>36</v>
      </c>
      <c r="X100" s="4" t="str">
        <f t="shared" si="4"/>
        <v>0VMZ0</v>
      </c>
      <c r="Y100" s="4" t="str">
        <f t="shared" si="5"/>
        <v>FMPE30.48G</v>
      </c>
      <c r="Z100" s="4" t="str">
        <f>""</f>
        <v/>
      </c>
      <c r="AA100" s="4" t="str">
        <f>""</f>
        <v/>
      </c>
      <c r="AB100" s="5">
        <v>43465</v>
      </c>
      <c r="AC100" s="6">
        <v>3815914634146340</v>
      </c>
    </row>
    <row r="101" spans="1:29" ht="14.45" customHeight="1" x14ac:dyDescent="0.25">
      <c r="A101" s="4" t="s">
        <v>25</v>
      </c>
      <c r="B101" s="4" t="s">
        <v>26</v>
      </c>
      <c r="C101" s="4" t="s">
        <v>27</v>
      </c>
      <c r="D101" s="4" t="s">
        <v>28</v>
      </c>
      <c r="E101" s="4" t="s">
        <v>26</v>
      </c>
      <c r="F101" s="4" t="s">
        <v>318</v>
      </c>
      <c r="G101" s="4" t="s">
        <v>318</v>
      </c>
      <c r="H101" s="4" t="s">
        <v>319</v>
      </c>
      <c r="I101" s="4" t="s">
        <v>68</v>
      </c>
      <c r="J101" s="4" t="str">
        <f t="shared" si="3"/>
        <v>5998SB0039087</v>
      </c>
      <c r="K101" s="4" t="s">
        <v>92</v>
      </c>
      <c r="L101" s="4" t="str">
        <f>""</f>
        <v/>
      </c>
      <c r="M101" s="4" t="str">
        <f>""</f>
        <v/>
      </c>
      <c r="N101" s="4" t="s">
        <v>34</v>
      </c>
      <c r="O101" s="3"/>
      <c r="P101" s="3"/>
      <c r="Q101" s="3"/>
      <c r="R101" s="4" t="s">
        <v>35</v>
      </c>
      <c r="S101" s="3"/>
      <c r="T101" s="4" t="str">
        <f>""</f>
        <v/>
      </c>
      <c r="U101" s="4" t="str">
        <f>"NCIA10371884"</f>
        <v>NCIA10371884</v>
      </c>
      <c r="V101" s="4" t="str">
        <f>"10PR00000522200057"</f>
        <v>10PR00000522200057</v>
      </c>
      <c r="W101" s="4" t="s">
        <v>36</v>
      </c>
      <c r="X101" s="4" t="str">
        <f t="shared" si="4"/>
        <v>0VMZ0</v>
      </c>
      <c r="Y101" s="4" t="str">
        <f t="shared" si="5"/>
        <v>FMPE30.48G</v>
      </c>
      <c r="Z101" s="4" t="str">
        <f>""</f>
        <v/>
      </c>
      <c r="AA101" s="4" t="str">
        <f>""</f>
        <v/>
      </c>
      <c r="AB101" s="5">
        <v>43465</v>
      </c>
      <c r="AC101" s="6">
        <v>3815914634146340</v>
      </c>
    </row>
    <row r="102" spans="1:29" ht="14.45" customHeight="1" x14ac:dyDescent="0.25">
      <c r="A102" s="4" t="s">
        <v>25</v>
      </c>
      <c r="B102" s="4" t="s">
        <v>26</v>
      </c>
      <c r="C102" s="4" t="s">
        <v>27</v>
      </c>
      <c r="D102" s="4" t="s">
        <v>28</v>
      </c>
      <c r="E102" s="4" t="s">
        <v>26</v>
      </c>
      <c r="F102" s="4" t="s">
        <v>318</v>
      </c>
      <c r="G102" s="4" t="s">
        <v>318</v>
      </c>
      <c r="H102" s="4" t="s">
        <v>319</v>
      </c>
      <c r="I102" s="4" t="s">
        <v>68</v>
      </c>
      <c r="J102" s="4" t="str">
        <f t="shared" si="3"/>
        <v>5998SB0039087</v>
      </c>
      <c r="K102" s="4" t="s">
        <v>92</v>
      </c>
      <c r="L102" s="4" t="str">
        <f>""</f>
        <v/>
      </c>
      <c r="M102" s="4" t="str">
        <f>""</f>
        <v/>
      </c>
      <c r="N102" s="4" t="s">
        <v>34</v>
      </c>
      <c r="O102" s="3"/>
      <c r="P102" s="3"/>
      <c r="Q102" s="3"/>
      <c r="R102" s="4" t="s">
        <v>35</v>
      </c>
      <c r="S102" s="3"/>
      <c r="T102" s="4" t="str">
        <f>""</f>
        <v/>
      </c>
      <c r="U102" s="4" t="str">
        <f>"NCIA10371885"</f>
        <v>NCIA10371885</v>
      </c>
      <c r="V102" s="4" t="str">
        <f>"10PR00000522200089"</f>
        <v>10PR00000522200089</v>
      </c>
      <c r="W102" s="4" t="s">
        <v>36</v>
      </c>
      <c r="X102" s="4" t="str">
        <f t="shared" si="4"/>
        <v>0VMZ0</v>
      </c>
      <c r="Y102" s="4" t="str">
        <f t="shared" si="5"/>
        <v>FMPE30.48G</v>
      </c>
      <c r="Z102" s="4" t="str">
        <f>""</f>
        <v/>
      </c>
      <c r="AA102" s="4" t="str">
        <f>""</f>
        <v/>
      </c>
      <c r="AB102" s="5">
        <v>43465</v>
      </c>
      <c r="AC102" s="6">
        <v>3815914634146340</v>
      </c>
    </row>
    <row r="103" spans="1:29" ht="14.45" customHeight="1" x14ac:dyDescent="0.25">
      <c r="A103" s="4" t="s">
        <v>25</v>
      </c>
      <c r="B103" s="4" t="s">
        <v>26</v>
      </c>
      <c r="C103" s="4" t="s">
        <v>27</v>
      </c>
      <c r="D103" s="4" t="s">
        <v>28</v>
      </c>
      <c r="E103" s="4" t="s">
        <v>26</v>
      </c>
      <c r="F103" s="4" t="s">
        <v>318</v>
      </c>
      <c r="G103" s="4" t="s">
        <v>318</v>
      </c>
      <c r="H103" s="4" t="s">
        <v>319</v>
      </c>
      <c r="I103" s="4" t="s">
        <v>68</v>
      </c>
      <c r="J103" s="4" t="str">
        <f t="shared" si="3"/>
        <v>5998SB0039087</v>
      </c>
      <c r="K103" s="4" t="s">
        <v>92</v>
      </c>
      <c r="L103" s="4" t="str">
        <f>""</f>
        <v/>
      </c>
      <c r="M103" s="4" t="str">
        <f>""</f>
        <v/>
      </c>
      <c r="N103" s="4" t="s">
        <v>34</v>
      </c>
      <c r="O103" s="3"/>
      <c r="P103" s="3"/>
      <c r="Q103" s="3"/>
      <c r="R103" s="4" t="s">
        <v>35</v>
      </c>
      <c r="S103" s="3"/>
      <c r="T103" s="4" t="str">
        <f>""</f>
        <v/>
      </c>
      <c r="U103" s="4" t="str">
        <f>"NCIA10371886"</f>
        <v>NCIA10371886</v>
      </c>
      <c r="V103" s="4" t="str">
        <f>"10PR00000522200063"</f>
        <v>10PR00000522200063</v>
      </c>
      <c r="W103" s="4" t="s">
        <v>36</v>
      </c>
      <c r="X103" s="4" t="str">
        <f t="shared" si="4"/>
        <v>0VMZ0</v>
      </c>
      <c r="Y103" s="4" t="str">
        <f t="shared" si="5"/>
        <v>FMPE30.48G</v>
      </c>
      <c r="Z103" s="4" t="str">
        <f>""</f>
        <v/>
      </c>
      <c r="AA103" s="4" t="str">
        <f>""</f>
        <v/>
      </c>
      <c r="AB103" s="5">
        <v>43465</v>
      </c>
      <c r="AC103" s="6">
        <v>3815914634146340</v>
      </c>
    </row>
    <row r="104" spans="1:29" ht="14.45" customHeight="1" x14ac:dyDescent="0.25">
      <c r="A104" s="4" t="s">
        <v>25</v>
      </c>
      <c r="B104" s="4" t="s">
        <v>26</v>
      </c>
      <c r="C104" s="4" t="s">
        <v>27</v>
      </c>
      <c r="D104" s="4" t="s">
        <v>28</v>
      </c>
      <c r="E104" s="4" t="s">
        <v>26</v>
      </c>
      <c r="F104" s="4" t="s">
        <v>318</v>
      </c>
      <c r="G104" s="4" t="s">
        <v>318</v>
      </c>
      <c r="H104" s="4" t="s">
        <v>319</v>
      </c>
      <c r="I104" s="4" t="s">
        <v>68</v>
      </c>
      <c r="J104" s="4" t="str">
        <f t="shared" si="3"/>
        <v>5998SB0039087</v>
      </c>
      <c r="K104" s="4" t="s">
        <v>92</v>
      </c>
      <c r="L104" s="4" t="str">
        <f>""</f>
        <v/>
      </c>
      <c r="M104" s="4" t="str">
        <f>""</f>
        <v/>
      </c>
      <c r="N104" s="4" t="s">
        <v>34</v>
      </c>
      <c r="O104" s="3"/>
      <c r="P104" s="3"/>
      <c r="Q104" s="3"/>
      <c r="R104" s="4" t="s">
        <v>35</v>
      </c>
      <c r="S104" s="3"/>
      <c r="T104" s="4" t="str">
        <f>""</f>
        <v/>
      </c>
      <c r="U104" s="4" t="str">
        <f>"NCIA10371887"</f>
        <v>NCIA10371887</v>
      </c>
      <c r="V104" s="4" t="str">
        <f>"10PR00000522200117"</f>
        <v>10PR00000522200117</v>
      </c>
      <c r="W104" s="4" t="s">
        <v>36</v>
      </c>
      <c r="X104" s="4" t="str">
        <f t="shared" si="4"/>
        <v>0VMZ0</v>
      </c>
      <c r="Y104" s="4" t="str">
        <f t="shared" si="5"/>
        <v>FMPE30.48G</v>
      </c>
      <c r="Z104" s="4" t="str">
        <f>""</f>
        <v/>
      </c>
      <c r="AA104" s="4" t="str">
        <f>""</f>
        <v/>
      </c>
      <c r="AB104" s="5">
        <v>43465</v>
      </c>
      <c r="AC104" s="6">
        <v>3815914634146340</v>
      </c>
    </row>
    <row r="105" spans="1:29" ht="14.45" customHeight="1" x14ac:dyDescent="0.25">
      <c r="A105" s="4" t="s">
        <v>25</v>
      </c>
      <c r="B105" s="4" t="s">
        <v>26</v>
      </c>
      <c r="C105" s="4" t="s">
        <v>27</v>
      </c>
      <c r="D105" s="4" t="s">
        <v>28</v>
      </c>
      <c r="E105" s="4" t="s">
        <v>26</v>
      </c>
      <c r="F105" s="4" t="s">
        <v>318</v>
      </c>
      <c r="G105" s="4" t="s">
        <v>318</v>
      </c>
      <c r="H105" s="4" t="s">
        <v>319</v>
      </c>
      <c r="I105" s="4" t="s">
        <v>37</v>
      </c>
      <c r="J105" s="4" t="str">
        <f>"5998SB0043291"</f>
        <v>5998SB0043291</v>
      </c>
      <c r="K105" s="4" t="s">
        <v>284</v>
      </c>
      <c r="L105" s="4" t="str">
        <f>""</f>
        <v/>
      </c>
      <c r="M105" s="4" t="str">
        <f>""</f>
        <v/>
      </c>
      <c r="N105" s="4" t="s">
        <v>34</v>
      </c>
      <c r="O105" s="3"/>
      <c r="P105" s="3"/>
      <c r="Q105" s="3"/>
      <c r="R105" s="4" t="s">
        <v>35</v>
      </c>
      <c r="S105" s="3"/>
      <c r="T105" s="4" t="str">
        <f>""</f>
        <v/>
      </c>
      <c r="U105" s="4" t="str">
        <f>"NCIA12008730"</f>
        <v>NCIA12008730</v>
      </c>
      <c r="V105" s="4" t="str">
        <f>""</f>
        <v/>
      </c>
      <c r="W105" s="4" t="s">
        <v>36</v>
      </c>
      <c r="X105" s="4" t="str">
        <f>"3AQ27"</f>
        <v>3AQ27</v>
      </c>
      <c r="Y105" s="4" t="str">
        <f>"ADAM 6050"</f>
        <v>ADAM 6050</v>
      </c>
      <c r="Z105" s="4" t="str">
        <f>""</f>
        <v/>
      </c>
      <c r="AA105" s="4" t="str">
        <f>""</f>
        <v/>
      </c>
      <c r="AB105" s="5">
        <v>43630</v>
      </c>
      <c r="AC105" s="4">
        <v>0</v>
      </c>
    </row>
    <row r="106" spans="1:29" ht="14.45" customHeight="1" x14ac:dyDescent="0.25">
      <c r="A106" s="4" t="s">
        <v>25</v>
      </c>
      <c r="B106" s="4" t="s">
        <v>26</v>
      </c>
      <c r="C106" s="4" t="s">
        <v>27</v>
      </c>
      <c r="D106" s="4" t="s">
        <v>28</v>
      </c>
      <c r="E106" s="4" t="s">
        <v>26</v>
      </c>
      <c r="F106" s="4" t="s">
        <v>318</v>
      </c>
      <c r="G106" s="4" t="s">
        <v>318</v>
      </c>
      <c r="H106" s="4" t="s">
        <v>319</v>
      </c>
      <c r="I106" s="4" t="s">
        <v>37</v>
      </c>
      <c r="J106" s="4" t="str">
        <f>"5998SB0058606"</f>
        <v>5998SB0058606</v>
      </c>
      <c r="K106" s="4" t="s">
        <v>286</v>
      </c>
      <c r="L106" s="4" t="str">
        <f>""</f>
        <v/>
      </c>
      <c r="M106" s="4" t="str">
        <f>""</f>
        <v/>
      </c>
      <c r="N106" s="4" t="s">
        <v>34</v>
      </c>
      <c r="O106" s="3"/>
      <c r="P106" s="3"/>
      <c r="Q106" s="3"/>
      <c r="R106" s="4" t="s">
        <v>35</v>
      </c>
      <c r="S106" s="3"/>
      <c r="T106" s="4" t="str">
        <f>""</f>
        <v/>
      </c>
      <c r="U106" s="4" t="str">
        <f>"NCIA12008721"</f>
        <v>NCIA12008721</v>
      </c>
      <c r="V106" s="4" t="str">
        <f>""</f>
        <v/>
      </c>
      <c r="W106" s="4" t="s">
        <v>36</v>
      </c>
      <c r="X106" s="4" t="str">
        <f>"02MQ7"</f>
        <v>02MQ7</v>
      </c>
      <c r="Y106" s="4" t="str">
        <f>"01-000703"</f>
        <v>01-000703</v>
      </c>
      <c r="Z106" s="4" t="str">
        <f>""</f>
        <v/>
      </c>
      <c r="AA106" s="4" t="str">
        <f>""</f>
        <v/>
      </c>
      <c r="AB106" s="5">
        <v>43630</v>
      </c>
      <c r="AC106" s="4">
        <v>0</v>
      </c>
    </row>
    <row r="107" spans="1:29" ht="14.45" customHeight="1" x14ac:dyDescent="0.25">
      <c r="A107" s="4" t="s">
        <v>25</v>
      </c>
      <c r="B107" s="4" t="s">
        <v>26</v>
      </c>
      <c r="C107" s="4" t="s">
        <v>27</v>
      </c>
      <c r="D107" s="4" t="s">
        <v>28</v>
      </c>
      <c r="E107" s="4" t="s">
        <v>26</v>
      </c>
      <c r="F107" s="4" t="s">
        <v>318</v>
      </c>
      <c r="G107" s="4" t="s">
        <v>318</v>
      </c>
      <c r="H107" s="4" t="s">
        <v>319</v>
      </c>
      <c r="I107" s="4" t="s">
        <v>56</v>
      </c>
      <c r="J107" s="4" t="str">
        <f>"5999SB0002982"</f>
        <v>5999SB0002982</v>
      </c>
      <c r="K107" s="4" t="s">
        <v>94</v>
      </c>
      <c r="L107" s="4" t="str">
        <f>""</f>
        <v/>
      </c>
      <c r="M107" s="4" t="str">
        <f>""</f>
        <v/>
      </c>
      <c r="N107" s="4" t="s">
        <v>34</v>
      </c>
      <c r="O107" s="3"/>
      <c r="P107" s="3"/>
      <c r="Q107" s="3"/>
      <c r="R107" s="4" t="s">
        <v>35</v>
      </c>
      <c r="S107" s="3"/>
      <c r="T107" s="4" t="str">
        <f>"12719-500"</f>
        <v>12719-500</v>
      </c>
      <c r="U107" s="4" t="str">
        <f>"01-117011"</f>
        <v>01-117011</v>
      </c>
      <c r="V107" s="4" t="str">
        <f>"12719-016"</f>
        <v>12719-016</v>
      </c>
      <c r="W107" s="4" t="s">
        <v>36</v>
      </c>
      <c r="X107" s="4" t="str">
        <f>"53263"</f>
        <v>53263</v>
      </c>
      <c r="Y107" s="4" t="str">
        <f>"12719-500"</f>
        <v>12719-500</v>
      </c>
      <c r="Z107" s="4" t="str">
        <f>""</f>
        <v/>
      </c>
      <c r="AA107" s="4" t="str">
        <f>""</f>
        <v/>
      </c>
      <c r="AB107" s="5">
        <v>43465</v>
      </c>
      <c r="AC107" s="4">
        <v>0</v>
      </c>
    </row>
    <row r="108" spans="1:29" ht="14.45" customHeight="1" x14ac:dyDescent="0.25">
      <c r="A108" s="4" t="s">
        <v>25</v>
      </c>
      <c r="B108" s="4" t="s">
        <v>26</v>
      </c>
      <c r="C108" s="4" t="s">
        <v>27</v>
      </c>
      <c r="D108" s="4" t="s">
        <v>28</v>
      </c>
      <c r="E108" s="4" t="s">
        <v>26</v>
      </c>
      <c r="F108" s="4" t="s">
        <v>318</v>
      </c>
      <c r="G108" s="4" t="s">
        <v>318</v>
      </c>
      <c r="H108" s="4" t="s">
        <v>319</v>
      </c>
      <c r="I108" s="4" t="s">
        <v>32</v>
      </c>
      <c r="J108" s="4" t="str">
        <f>"5999SB0017632"</f>
        <v>5999SB0017632</v>
      </c>
      <c r="K108" s="4" t="s">
        <v>291</v>
      </c>
      <c r="L108" s="4" t="str">
        <f>""</f>
        <v/>
      </c>
      <c r="M108" s="4" t="str">
        <f>""</f>
        <v/>
      </c>
      <c r="N108" s="4" t="s">
        <v>34</v>
      </c>
      <c r="O108" s="3"/>
      <c r="P108" s="3"/>
      <c r="Q108" s="3"/>
      <c r="R108" s="4" t="s">
        <v>35</v>
      </c>
      <c r="S108" s="3"/>
      <c r="T108" s="4" t="str">
        <f>"027-589"</f>
        <v>027-589</v>
      </c>
      <c r="U108" s="4" t="str">
        <f>"01-116986"</f>
        <v>01-116986</v>
      </c>
      <c r="V108" s="4" t="str">
        <f>"V14470-027-589-02"</f>
        <v>V14470-027-589-02</v>
      </c>
      <c r="W108" s="4" t="s">
        <v>36</v>
      </c>
      <c r="X108" s="4" t="str">
        <f>"3G8X7"</f>
        <v>3G8X7</v>
      </c>
      <c r="Y108" s="4" t="str">
        <f>"027-589"</f>
        <v>027-589</v>
      </c>
      <c r="Z108" s="4" t="str">
        <f>""</f>
        <v/>
      </c>
      <c r="AA108" s="4" t="str">
        <f>""</f>
        <v/>
      </c>
      <c r="AB108" s="5">
        <v>43465</v>
      </c>
      <c r="AC108" s="6">
        <v>1.0388083459238E+16</v>
      </c>
    </row>
    <row r="109" spans="1:29" ht="14.45" customHeight="1" x14ac:dyDescent="0.25">
      <c r="A109" s="4" t="s">
        <v>25</v>
      </c>
      <c r="B109" s="4" t="s">
        <v>26</v>
      </c>
      <c r="C109" s="4" t="s">
        <v>27</v>
      </c>
      <c r="D109" s="4" t="s">
        <v>28</v>
      </c>
      <c r="E109" s="4" t="s">
        <v>26</v>
      </c>
      <c r="F109" s="4" t="s">
        <v>318</v>
      </c>
      <c r="G109" s="4" t="s">
        <v>318</v>
      </c>
      <c r="H109" s="4" t="s">
        <v>319</v>
      </c>
      <c r="I109" s="4" t="s">
        <v>66</v>
      </c>
      <c r="J109" s="4" t="str">
        <f>"5999SB0017840"</f>
        <v>5999SB0017840</v>
      </c>
      <c r="K109" s="4" t="s">
        <v>97</v>
      </c>
      <c r="L109" s="4" t="str">
        <f>""</f>
        <v/>
      </c>
      <c r="M109" s="4" t="str">
        <f>""</f>
        <v/>
      </c>
      <c r="N109" s="4" t="s">
        <v>34</v>
      </c>
      <c r="O109" s="3"/>
      <c r="P109" s="3"/>
      <c r="Q109" s="3"/>
      <c r="R109" s="4" t="s">
        <v>35</v>
      </c>
      <c r="S109" s="3"/>
      <c r="T109" s="4" t="str">
        <f>"10538-05027"</f>
        <v>10538-05027</v>
      </c>
      <c r="U109" s="4" t="str">
        <f>"01-117009"</f>
        <v>01-117009</v>
      </c>
      <c r="V109" s="4" t="str">
        <f>"1001394"</f>
        <v>1001394</v>
      </c>
      <c r="W109" s="4" t="s">
        <v>36</v>
      </c>
      <c r="X109" s="4" t="str">
        <f>"02MQ7"</f>
        <v>02MQ7</v>
      </c>
      <c r="Y109" s="4" t="str">
        <f>"10538-05027"</f>
        <v>10538-05027</v>
      </c>
      <c r="Z109" s="4" t="str">
        <f>""</f>
        <v/>
      </c>
      <c r="AA109" s="4" t="str">
        <f>""</f>
        <v/>
      </c>
      <c r="AB109" s="5">
        <v>43465</v>
      </c>
      <c r="AC109" s="4">
        <v>0</v>
      </c>
    </row>
    <row r="110" spans="1:29" ht="14.45" customHeight="1" x14ac:dyDescent="0.25">
      <c r="A110" s="4" t="s">
        <v>25</v>
      </c>
      <c r="B110" s="4" t="s">
        <v>26</v>
      </c>
      <c r="C110" s="4" t="s">
        <v>27</v>
      </c>
      <c r="D110" s="4" t="s">
        <v>28</v>
      </c>
      <c r="E110" s="4" t="s">
        <v>26</v>
      </c>
      <c r="F110" s="4" t="s">
        <v>318</v>
      </c>
      <c r="G110" s="4" t="s">
        <v>318</v>
      </c>
      <c r="H110" s="4" t="s">
        <v>319</v>
      </c>
      <c r="I110" s="4" t="s">
        <v>51</v>
      </c>
      <c r="J110" s="4" t="str">
        <f>"6020SB0003183"</f>
        <v>6020SB0003183</v>
      </c>
      <c r="K110" s="4" t="s">
        <v>334</v>
      </c>
      <c r="L110" s="4" t="str">
        <f>""</f>
        <v/>
      </c>
      <c r="M110" s="4" t="str">
        <f>""</f>
        <v/>
      </c>
      <c r="N110" s="4" t="s">
        <v>335</v>
      </c>
      <c r="O110" s="3"/>
      <c r="P110" s="3"/>
      <c r="Q110" s="3"/>
      <c r="R110" s="4" t="s">
        <v>35</v>
      </c>
      <c r="S110" s="3"/>
      <c r="T110" s="4" t="str">
        <f>"733-00138-00"</f>
        <v>733-00138-00</v>
      </c>
      <c r="U110" s="4" t="str">
        <f>"01-117041"</f>
        <v>01-117041</v>
      </c>
      <c r="V110" s="4" t="str">
        <f>"536830/00005"</f>
        <v>536830/00005</v>
      </c>
      <c r="W110" s="4" t="s">
        <v>36</v>
      </c>
      <c r="X110" s="4" t="str">
        <f>"34078"</f>
        <v>34078</v>
      </c>
      <c r="Y110" s="4" t="str">
        <f>"733-00138-00"</f>
        <v>733-00138-00</v>
      </c>
      <c r="Z110" s="4" t="str">
        <f>""</f>
        <v/>
      </c>
      <c r="AA110" s="4" t="str">
        <f>""</f>
        <v/>
      </c>
      <c r="AB110" s="5">
        <v>43465</v>
      </c>
      <c r="AC110" s="6">
        <v>49103225</v>
      </c>
    </row>
    <row r="111" spans="1:29" ht="14.45" customHeight="1" x14ac:dyDescent="0.25">
      <c r="A111" s="4" t="s">
        <v>25</v>
      </c>
      <c r="B111" s="4" t="s">
        <v>26</v>
      </c>
      <c r="C111" s="4" t="s">
        <v>27</v>
      </c>
      <c r="D111" s="4" t="s">
        <v>28</v>
      </c>
      <c r="E111" s="4" t="s">
        <v>26</v>
      </c>
      <c r="F111" s="4" t="s">
        <v>318</v>
      </c>
      <c r="G111" s="4" t="s">
        <v>318</v>
      </c>
      <c r="H111" s="4" t="s">
        <v>319</v>
      </c>
      <c r="I111" s="4" t="s">
        <v>51</v>
      </c>
      <c r="J111" s="4" t="str">
        <f>"6020SB0003183"</f>
        <v>6020SB0003183</v>
      </c>
      <c r="K111" s="4" t="s">
        <v>334</v>
      </c>
      <c r="L111" s="4" t="str">
        <f>""</f>
        <v/>
      </c>
      <c r="M111" s="4" t="str">
        <f>""</f>
        <v/>
      </c>
      <c r="N111" s="4" t="s">
        <v>335</v>
      </c>
      <c r="O111" s="3"/>
      <c r="P111" s="3"/>
      <c r="Q111" s="3"/>
      <c r="R111" s="4" t="s">
        <v>35</v>
      </c>
      <c r="S111" s="3"/>
      <c r="T111" s="4" t="str">
        <f>"733-00138-00"</f>
        <v>733-00138-00</v>
      </c>
      <c r="U111" s="4" t="str">
        <f>"01-117042"</f>
        <v>01-117042</v>
      </c>
      <c r="V111" s="4" t="str">
        <f>"9318/W071"</f>
        <v>9318/W071</v>
      </c>
      <c r="W111" s="4" t="s">
        <v>36</v>
      </c>
      <c r="X111" s="4" t="str">
        <f>"34078"</f>
        <v>34078</v>
      </c>
      <c r="Y111" s="4" t="str">
        <f>"733-00138-00"</f>
        <v>733-00138-00</v>
      </c>
      <c r="Z111" s="4" t="str">
        <f>""</f>
        <v/>
      </c>
      <c r="AA111" s="4" t="str">
        <f>""</f>
        <v/>
      </c>
      <c r="AB111" s="5">
        <v>43465</v>
      </c>
      <c r="AC111" s="6">
        <v>49103225</v>
      </c>
    </row>
    <row r="112" spans="1:29" ht="14.45" customHeight="1" x14ac:dyDescent="0.25">
      <c r="A112" s="4" t="s">
        <v>25</v>
      </c>
      <c r="B112" s="4" t="s">
        <v>26</v>
      </c>
      <c r="C112" s="4" t="s">
        <v>27</v>
      </c>
      <c r="D112" s="4" t="s">
        <v>28</v>
      </c>
      <c r="E112" s="4" t="s">
        <v>26</v>
      </c>
      <c r="F112" s="4" t="s">
        <v>318</v>
      </c>
      <c r="G112" s="4" t="s">
        <v>318</v>
      </c>
      <c r="H112" s="4" t="s">
        <v>319</v>
      </c>
      <c r="I112" s="4" t="s">
        <v>51</v>
      </c>
      <c r="J112" s="4" t="str">
        <f>"6020SB0003183"</f>
        <v>6020SB0003183</v>
      </c>
      <c r="K112" s="4" t="s">
        <v>334</v>
      </c>
      <c r="L112" s="4" t="str">
        <f>""</f>
        <v/>
      </c>
      <c r="M112" s="4" t="str">
        <f>""</f>
        <v/>
      </c>
      <c r="N112" s="4" t="s">
        <v>335</v>
      </c>
      <c r="O112" s="3"/>
      <c r="P112" s="3"/>
      <c r="Q112" s="3"/>
      <c r="R112" s="4" t="s">
        <v>35</v>
      </c>
      <c r="S112" s="3"/>
      <c r="T112" s="4" t="str">
        <f>"733-00138-00"</f>
        <v>733-00138-00</v>
      </c>
      <c r="U112" s="4" t="str">
        <f>"01-117043"</f>
        <v>01-117043</v>
      </c>
      <c r="V112" s="4" t="str">
        <f>"13197/W002"</f>
        <v>13197/W002</v>
      </c>
      <c r="W112" s="4" t="s">
        <v>36</v>
      </c>
      <c r="X112" s="4" t="str">
        <f>"34078"</f>
        <v>34078</v>
      </c>
      <c r="Y112" s="4" t="str">
        <f>"733-00138-00"</f>
        <v>733-00138-00</v>
      </c>
      <c r="Z112" s="4" t="str">
        <f>""</f>
        <v/>
      </c>
      <c r="AA112" s="4" t="str">
        <f>""</f>
        <v/>
      </c>
      <c r="AB112" s="5">
        <v>43465</v>
      </c>
      <c r="AC112" s="6">
        <v>49103225</v>
      </c>
    </row>
    <row r="113" spans="1:29" ht="14.45" customHeight="1" x14ac:dyDescent="0.25">
      <c r="A113" s="4" t="s">
        <v>25</v>
      </c>
      <c r="B113" s="4" t="s">
        <v>26</v>
      </c>
      <c r="C113" s="4" t="s">
        <v>27</v>
      </c>
      <c r="D113" s="4" t="s">
        <v>28</v>
      </c>
      <c r="E113" s="4" t="s">
        <v>26</v>
      </c>
      <c r="F113" s="4" t="s">
        <v>318</v>
      </c>
      <c r="G113" s="4" t="s">
        <v>318</v>
      </c>
      <c r="H113" s="4" t="s">
        <v>319</v>
      </c>
      <c r="I113" s="4" t="s">
        <v>37</v>
      </c>
      <c r="J113" s="4" t="str">
        <f>"6020SB0042167"</f>
        <v>6020SB0042167</v>
      </c>
      <c r="K113" s="4" t="s">
        <v>336</v>
      </c>
      <c r="L113" s="4" t="str">
        <f>""</f>
        <v/>
      </c>
      <c r="M113" s="4" t="str">
        <f>""</f>
        <v/>
      </c>
      <c r="N113" s="4" t="s">
        <v>34</v>
      </c>
      <c r="O113" s="3"/>
      <c r="P113" s="3"/>
      <c r="Q113" s="3"/>
      <c r="R113" s="4" t="s">
        <v>35</v>
      </c>
      <c r="S113" s="3"/>
      <c r="T113" s="4" t="str">
        <f>""</f>
        <v/>
      </c>
      <c r="U113" s="4" t="str">
        <f>"NCIA12008727"</f>
        <v>NCIA12008727</v>
      </c>
      <c r="V113" s="4" t="str">
        <f>"1804-0001"</f>
        <v>1804-0001</v>
      </c>
      <c r="W113" s="4" t="s">
        <v>36</v>
      </c>
      <c r="X113" s="4" t="str">
        <f>"02MQ7"</f>
        <v>02MQ7</v>
      </c>
      <c r="Y113" s="4" t="str">
        <f>"731-00495-00"</f>
        <v>731-00495-00</v>
      </c>
      <c r="Z113" s="4" t="str">
        <f>""</f>
        <v/>
      </c>
      <c r="AA113" s="4" t="str">
        <f>""</f>
        <v/>
      </c>
      <c r="AB113" s="5">
        <v>43630</v>
      </c>
      <c r="AC113" s="4">
        <v>0</v>
      </c>
    </row>
    <row r="114" spans="1:29" ht="14.45" customHeight="1" x14ac:dyDescent="0.25">
      <c r="A114" s="4" t="s">
        <v>25</v>
      </c>
      <c r="B114" s="4" t="s">
        <v>26</v>
      </c>
      <c r="C114" s="4" t="s">
        <v>27</v>
      </c>
      <c r="D114" s="4" t="s">
        <v>28</v>
      </c>
      <c r="E114" s="4" t="s">
        <v>26</v>
      </c>
      <c r="F114" s="4" t="s">
        <v>318</v>
      </c>
      <c r="G114" s="4" t="s">
        <v>318</v>
      </c>
      <c r="H114" s="4" t="s">
        <v>319</v>
      </c>
      <c r="I114" s="4" t="s">
        <v>37</v>
      </c>
      <c r="J114" s="4" t="str">
        <f>"6020SB0042167"</f>
        <v>6020SB0042167</v>
      </c>
      <c r="K114" s="4" t="s">
        <v>336</v>
      </c>
      <c r="L114" s="4" t="str">
        <f>""</f>
        <v/>
      </c>
      <c r="M114" s="4" t="str">
        <f>""</f>
        <v/>
      </c>
      <c r="N114" s="4" t="s">
        <v>34</v>
      </c>
      <c r="O114" s="3"/>
      <c r="P114" s="3"/>
      <c r="Q114" s="3"/>
      <c r="R114" s="4" t="s">
        <v>35</v>
      </c>
      <c r="S114" s="3"/>
      <c r="T114" s="4" t="str">
        <f>""</f>
        <v/>
      </c>
      <c r="U114" s="4" t="str">
        <f>"NCIA12008728"</f>
        <v>NCIA12008728</v>
      </c>
      <c r="V114" s="4" t="str">
        <f>"1804-0002"</f>
        <v>1804-0002</v>
      </c>
      <c r="W114" s="4" t="s">
        <v>36</v>
      </c>
      <c r="X114" s="4" t="str">
        <f>"02MQ7"</f>
        <v>02MQ7</v>
      </c>
      <c r="Y114" s="4" t="str">
        <f>"731-00495-00"</f>
        <v>731-00495-00</v>
      </c>
      <c r="Z114" s="4" t="str">
        <f>""</f>
        <v/>
      </c>
      <c r="AA114" s="4" t="str">
        <f>""</f>
        <v/>
      </c>
      <c r="AB114" s="5">
        <v>43630</v>
      </c>
      <c r="AC114" s="4">
        <v>0</v>
      </c>
    </row>
    <row r="115" spans="1:29" ht="14.45" customHeight="1" x14ac:dyDescent="0.25">
      <c r="A115" s="4" t="s">
        <v>25</v>
      </c>
      <c r="B115" s="4" t="s">
        <v>26</v>
      </c>
      <c r="C115" s="4" t="s">
        <v>27</v>
      </c>
      <c r="D115" s="4" t="s">
        <v>28</v>
      </c>
      <c r="E115" s="4" t="s">
        <v>26</v>
      </c>
      <c r="F115" s="4" t="s">
        <v>318</v>
      </c>
      <c r="G115" s="4" t="s">
        <v>318</v>
      </c>
      <c r="H115" s="4" t="s">
        <v>319</v>
      </c>
      <c r="I115" s="4" t="s">
        <v>37</v>
      </c>
      <c r="J115" s="4" t="str">
        <f>"6020SB0042167"</f>
        <v>6020SB0042167</v>
      </c>
      <c r="K115" s="4" t="s">
        <v>336</v>
      </c>
      <c r="L115" s="4" t="str">
        <f>""</f>
        <v/>
      </c>
      <c r="M115" s="4" t="str">
        <f>""</f>
        <v/>
      </c>
      <c r="N115" s="4" t="s">
        <v>34</v>
      </c>
      <c r="O115" s="3"/>
      <c r="P115" s="3"/>
      <c r="Q115" s="3"/>
      <c r="R115" s="4" t="s">
        <v>35</v>
      </c>
      <c r="S115" s="3"/>
      <c r="T115" s="4" t="str">
        <f>""</f>
        <v/>
      </c>
      <c r="U115" s="4" t="str">
        <f>"NCIA12008729"</f>
        <v>NCIA12008729</v>
      </c>
      <c r="V115" s="4" t="str">
        <f>"1804-0010"</f>
        <v>1804-0010</v>
      </c>
      <c r="W115" s="4" t="s">
        <v>36</v>
      </c>
      <c r="X115" s="4" t="str">
        <f>"02MQ7"</f>
        <v>02MQ7</v>
      </c>
      <c r="Y115" s="4" t="str">
        <f>"731-00495-00"</f>
        <v>731-00495-00</v>
      </c>
      <c r="Z115" s="4" t="str">
        <f>""</f>
        <v/>
      </c>
      <c r="AA115" s="4" t="str">
        <f>""</f>
        <v/>
      </c>
      <c r="AB115" s="5">
        <v>43630</v>
      </c>
      <c r="AC115" s="4">
        <v>0</v>
      </c>
    </row>
    <row r="116" spans="1:29" ht="14.45" customHeight="1" x14ac:dyDescent="0.25">
      <c r="A116" s="4" t="s">
        <v>25</v>
      </c>
      <c r="B116" s="4" t="s">
        <v>26</v>
      </c>
      <c r="C116" s="4" t="s">
        <v>27</v>
      </c>
      <c r="D116" s="4" t="s">
        <v>28</v>
      </c>
      <c r="E116" s="4" t="s">
        <v>26</v>
      </c>
      <c r="F116" s="4" t="s">
        <v>318</v>
      </c>
      <c r="G116" s="4" t="s">
        <v>318</v>
      </c>
      <c r="H116" s="4" t="s">
        <v>319</v>
      </c>
      <c r="I116" s="4" t="s">
        <v>68</v>
      </c>
      <c r="J116" s="4" t="str">
        <f>"6130SB0039088"</f>
        <v>6130SB0039088</v>
      </c>
      <c r="K116" s="4" t="s">
        <v>100</v>
      </c>
      <c r="L116" s="4" t="str">
        <f>""</f>
        <v/>
      </c>
      <c r="M116" s="4" t="str">
        <f>""</f>
        <v/>
      </c>
      <c r="N116" s="4" t="s">
        <v>34</v>
      </c>
      <c r="O116" s="3"/>
      <c r="P116" s="3"/>
      <c r="Q116" s="3"/>
      <c r="R116" s="4" t="s">
        <v>35</v>
      </c>
      <c r="S116" s="3"/>
      <c r="T116" s="4" t="str">
        <f>""</f>
        <v/>
      </c>
      <c r="U116" s="4" t="str">
        <f>"NCIA10371878"</f>
        <v>NCIA10371878</v>
      </c>
      <c r="V116" s="4" t="str">
        <f>"5735675"</f>
        <v>5735675</v>
      </c>
      <c r="W116" s="4" t="s">
        <v>36</v>
      </c>
      <c r="X116" s="4" t="str">
        <f>"02MQ7"</f>
        <v>02MQ7</v>
      </c>
      <c r="Y116" s="4" t="str">
        <f>"11008-08006-001"</f>
        <v>11008-08006-001</v>
      </c>
      <c r="Z116" s="4" t="str">
        <f>""</f>
        <v/>
      </c>
      <c r="AA116" s="4" t="str">
        <f>""</f>
        <v/>
      </c>
      <c r="AB116" s="5">
        <v>43465</v>
      </c>
      <c r="AC116" s="4">
        <v>0</v>
      </c>
    </row>
    <row r="117" spans="1:29" ht="14.45" customHeight="1" x14ac:dyDescent="0.25">
      <c r="A117" s="4" t="s">
        <v>25</v>
      </c>
      <c r="B117" s="4" t="s">
        <v>26</v>
      </c>
      <c r="C117" s="4" t="s">
        <v>27</v>
      </c>
      <c r="D117" s="4" t="s">
        <v>28</v>
      </c>
      <c r="E117" s="4" t="s">
        <v>26</v>
      </c>
      <c r="F117" s="4" t="s">
        <v>318</v>
      </c>
      <c r="G117" s="4" t="s">
        <v>318</v>
      </c>
      <c r="H117" s="4" t="s">
        <v>319</v>
      </c>
      <c r="I117" s="4" t="s">
        <v>68</v>
      </c>
      <c r="J117" s="4" t="str">
        <f>"6130SB0039088"</f>
        <v>6130SB0039088</v>
      </c>
      <c r="K117" s="4" t="s">
        <v>100</v>
      </c>
      <c r="L117" s="4" t="str">
        <f>""</f>
        <v/>
      </c>
      <c r="M117" s="4" t="str">
        <f>""</f>
        <v/>
      </c>
      <c r="N117" s="4" t="s">
        <v>34</v>
      </c>
      <c r="O117" s="3"/>
      <c r="P117" s="3"/>
      <c r="Q117" s="3"/>
      <c r="R117" s="4" t="s">
        <v>35</v>
      </c>
      <c r="S117" s="3"/>
      <c r="T117" s="4" t="str">
        <f>""</f>
        <v/>
      </c>
      <c r="U117" s="4" t="str">
        <f>"NCIA10371879"</f>
        <v>NCIA10371879</v>
      </c>
      <c r="V117" s="4" t="str">
        <f>"5735678"</f>
        <v>5735678</v>
      </c>
      <c r="W117" s="4" t="s">
        <v>36</v>
      </c>
      <c r="X117" s="4" t="str">
        <f>"02MQ7"</f>
        <v>02MQ7</v>
      </c>
      <c r="Y117" s="4" t="str">
        <f>"11008-08006-002"</f>
        <v>11008-08006-002</v>
      </c>
      <c r="Z117" s="4" t="str">
        <f>""</f>
        <v/>
      </c>
      <c r="AA117" s="4" t="str">
        <f>""</f>
        <v/>
      </c>
      <c r="AB117" s="5">
        <v>43465</v>
      </c>
      <c r="AC117" s="4">
        <v>0</v>
      </c>
    </row>
    <row r="118" spans="1:29" ht="14.45" customHeight="1" x14ac:dyDescent="0.25">
      <c r="A118" s="4" t="s">
        <v>25</v>
      </c>
      <c r="B118" s="4" t="s">
        <v>26</v>
      </c>
      <c r="C118" s="4" t="s">
        <v>27</v>
      </c>
      <c r="D118" s="4" t="s">
        <v>28</v>
      </c>
      <c r="E118" s="4" t="s">
        <v>26</v>
      </c>
      <c r="F118" s="4" t="s">
        <v>318</v>
      </c>
      <c r="G118" s="4" t="s">
        <v>318</v>
      </c>
      <c r="H118" s="4" t="s">
        <v>319</v>
      </c>
      <c r="I118" s="4" t="s">
        <v>68</v>
      </c>
      <c r="J118" s="4" t="str">
        <f>"6130SB0039089"</f>
        <v>6130SB0039089</v>
      </c>
      <c r="K118" s="4" t="s">
        <v>101</v>
      </c>
      <c r="L118" s="4" t="str">
        <f>""</f>
        <v/>
      </c>
      <c r="M118" s="4" t="str">
        <f>""</f>
        <v/>
      </c>
      <c r="N118" s="4" t="s">
        <v>34</v>
      </c>
      <c r="O118" s="3"/>
      <c r="P118" s="3"/>
      <c r="Q118" s="3"/>
      <c r="R118" s="4" t="s">
        <v>35</v>
      </c>
      <c r="S118" s="3"/>
      <c r="T118" s="4" t="str">
        <f>""</f>
        <v/>
      </c>
      <c r="U118" s="4" t="str">
        <f>"NCIA10371875"</f>
        <v>NCIA10371875</v>
      </c>
      <c r="V118" s="4" t="str">
        <f>"000834"</f>
        <v>000834</v>
      </c>
      <c r="W118" s="4" t="s">
        <v>36</v>
      </c>
      <c r="X118" s="4" t="str">
        <f>"0VMZ0"</f>
        <v>0VMZ0</v>
      </c>
      <c r="Y118" s="4" t="str">
        <f>"3F51991F100G"</f>
        <v>3F51991F100G</v>
      </c>
      <c r="Z118" s="4" t="str">
        <f>""</f>
        <v/>
      </c>
      <c r="AA118" s="4" t="str">
        <f>""</f>
        <v/>
      </c>
      <c r="AB118" s="5">
        <v>43465</v>
      </c>
      <c r="AC118" s="4">
        <v>0</v>
      </c>
    </row>
    <row r="119" spans="1:29" ht="14.45" customHeight="1" x14ac:dyDescent="0.25">
      <c r="A119" s="4" t="s">
        <v>25</v>
      </c>
      <c r="B119" s="4" t="s">
        <v>26</v>
      </c>
      <c r="C119" s="4" t="s">
        <v>27</v>
      </c>
      <c r="D119" s="4" t="s">
        <v>28</v>
      </c>
      <c r="E119" s="4" t="s">
        <v>26</v>
      </c>
      <c r="F119" s="4" t="s">
        <v>318</v>
      </c>
      <c r="G119" s="4" t="s">
        <v>318</v>
      </c>
      <c r="H119" s="4" t="s">
        <v>319</v>
      </c>
      <c r="I119" s="4" t="s">
        <v>68</v>
      </c>
      <c r="J119" s="4" t="str">
        <f>"6130SB0039089"</f>
        <v>6130SB0039089</v>
      </c>
      <c r="K119" s="4" t="s">
        <v>101</v>
      </c>
      <c r="L119" s="4" t="str">
        <f>""</f>
        <v/>
      </c>
      <c r="M119" s="4" t="str">
        <f>""</f>
        <v/>
      </c>
      <c r="N119" s="4" t="s">
        <v>34</v>
      </c>
      <c r="O119" s="3"/>
      <c r="P119" s="3"/>
      <c r="Q119" s="3"/>
      <c r="R119" s="4" t="s">
        <v>35</v>
      </c>
      <c r="S119" s="3"/>
      <c r="T119" s="4" t="str">
        <f>""</f>
        <v/>
      </c>
      <c r="U119" s="4" t="str">
        <f>"NCIA10371876"</f>
        <v>NCIA10371876</v>
      </c>
      <c r="V119" s="4" t="str">
        <f>"000833"</f>
        <v>000833</v>
      </c>
      <c r="W119" s="4" t="s">
        <v>36</v>
      </c>
      <c r="X119" s="4" t="str">
        <f>"0VMZ0"</f>
        <v>0VMZ0</v>
      </c>
      <c r="Y119" s="4" t="str">
        <f>"3F51991F100G"</f>
        <v>3F51991F100G</v>
      </c>
      <c r="Z119" s="4" t="str">
        <f>""</f>
        <v/>
      </c>
      <c r="AA119" s="4" t="str">
        <f>""</f>
        <v/>
      </c>
      <c r="AB119" s="5">
        <v>43465</v>
      </c>
      <c r="AC119" s="4">
        <v>0</v>
      </c>
    </row>
    <row r="120" spans="1:29" ht="14.45" customHeight="1" x14ac:dyDescent="0.25">
      <c r="A120" s="4" t="s">
        <v>25</v>
      </c>
      <c r="B120" s="4" t="s">
        <v>26</v>
      </c>
      <c r="C120" s="4" t="s">
        <v>27</v>
      </c>
      <c r="D120" s="4" t="s">
        <v>28</v>
      </c>
      <c r="E120" s="4" t="s">
        <v>26</v>
      </c>
      <c r="F120" s="4" t="s">
        <v>318</v>
      </c>
      <c r="G120" s="4" t="s">
        <v>318</v>
      </c>
      <c r="H120" s="4" t="s">
        <v>319</v>
      </c>
      <c r="I120" s="4" t="s">
        <v>68</v>
      </c>
      <c r="J120" s="4" t="str">
        <f>"6130SB0039089"</f>
        <v>6130SB0039089</v>
      </c>
      <c r="K120" s="4" t="s">
        <v>101</v>
      </c>
      <c r="L120" s="4" t="str">
        <f>""</f>
        <v/>
      </c>
      <c r="M120" s="4" t="str">
        <f>""</f>
        <v/>
      </c>
      <c r="N120" s="4" t="s">
        <v>34</v>
      </c>
      <c r="O120" s="3"/>
      <c r="P120" s="3"/>
      <c r="Q120" s="3"/>
      <c r="R120" s="4" t="s">
        <v>35</v>
      </c>
      <c r="S120" s="3"/>
      <c r="T120" s="4" t="str">
        <f>""</f>
        <v/>
      </c>
      <c r="U120" s="4" t="str">
        <f>"NCIA10371877"</f>
        <v>NCIA10371877</v>
      </c>
      <c r="V120" s="4" t="str">
        <f>"000835"</f>
        <v>000835</v>
      </c>
      <c r="W120" s="4" t="s">
        <v>36</v>
      </c>
      <c r="X120" s="4" t="str">
        <f>"0VMZ0"</f>
        <v>0VMZ0</v>
      </c>
      <c r="Y120" s="4" t="str">
        <f>"3F51991F100G"</f>
        <v>3F51991F100G</v>
      </c>
      <c r="Z120" s="4" t="str">
        <f>""</f>
        <v/>
      </c>
      <c r="AA120" s="4" t="str">
        <f>""</f>
        <v/>
      </c>
      <c r="AB120" s="5">
        <v>43465</v>
      </c>
      <c r="AC120" s="4">
        <v>0</v>
      </c>
    </row>
    <row r="121" spans="1:29" ht="14.45" customHeight="1" x14ac:dyDescent="0.25">
      <c r="A121" s="4" t="s">
        <v>25</v>
      </c>
      <c r="B121" s="4" t="s">
        <v>26</v>
      </c>
      <c r="C121" s="4" t="s">
        <v>27</v>
      </c>
      <c r="D121" s="4" t="s">
        <v>28</v>
      </c>
      <c r="E121" s="4" t="s">
        <v>26</v>
      </c>
      <c r="F121" s="4" t="s">
        <v>318</v>
      </c>
      <c r="G121" s="4" t="s">
        <v>318</v>
      </c>
      <c r="H121" s="4" t="s">
        <v>319</v>
      </c>
      <c r="I121" s="4" t="s">
        <v>68</v>
      </c>
      <c r="J121" s="4" t="str">
        <f>"6130SB0039090"</f>
        <v>6130SB0039090</v>
      </c>
      <c r="K121" s="4" t="s">
        <v>102</v>
      </c>
      <c r="L121" s="4" t="str">
        <f>""</f>
        <v/>
      </c>
      <c r="M121" s="4" t="str">
        <f>""</f>
        <v/>
      </c>
      <c r="N121" s="4" t="s">
        <v>34</v>
      </c>
      <c r="O121" s="3"/>
      <c r="P121" s="3"/>
      <c r="Q121" s="3"/>
      <c r="R121" s="4" t="s">
        <v>35</v>
      </c>
      <c r="S121" s="3"/>
      <c r="T121" s="4" t="str">
        <f>""</f>
        <v/>
      </c>
      <c r="U121" s="4" t="str">
        <f>"NCIA10371874"</f>
        <v>NCIA10371874</v>
      </c>
      <c r="V121" s="4" t="str">
        <f>"000665"</f>
        <v>000665</v>
      </c>
      <c r="W121" s="4" t="s">
        <v>36</v>
      </c>
      <c r="X121" s="4" t="str">
        <f>"0VMZ0"</f>
        <v>0VMZ0</v>
      </c>
      <c r="Y121" s="4" t="str">
        <f>"3F51991F200G"</f>
        <v>3F51991F200G</v>
      </c>
      <c r="Z121" s="4" t="str">
        <f>""</f>
        <v/>
      </c>
      <c r="AA121" s="4" t="str">
        <f>""</f>
        <v/>
      </c>
      <c r="AB121" s="5">
        <v>43465</v>
      </c>
      <c r="AC121" s="4">
        <v>0</v>
      </c>
    </row>
    <row r="122" spans="1:29" ht="14.45" customHeight="1" x14ac:dyDescent="0.25">
      <c r="A122" s="4" t="s">
        <v>25</v>
      </c>
      <c r="B122" s="4" t="s">
        <v>26</v>
      </c>
      <c r="C122" s="4" t="s">
        <v>27</v>
      </c>
      <c r="D122" s="4" t="s">
        <v>28</v>
      </c>
      <c r="E122" s="4" t="s">
        <v>26</v>
      </c>
      <c r="F122" s="4" t="s">
        <v>318</v>
      </c>
      <c r="G122" s="4" t="s">
        <v>318</v>
      </c>
      <c r="H122" s="4" t="s">
        <v>319</v>
      </c>
      <c r="I122" s="4" t="s">
        <v>68</v>
      </c>
      <c r="J122" s="4" t="str">
        <f>"6130SB0039091"</f>
        <v>6130SB0039091</v>
      </c>
      <c r="K122" s="4" t="s">
        <v>103</v>
      </c>
      <c r="L122" s="4" t="str">
        <f>""</f>
        <v/>
      </c>
      <c r="M122" s="4" t="str">
        <f>""</f>
        <v/>
      </c>
      <c r="N122" s="4" t="s">
        <v>34</v>
      </c>
      <c r="O122" s="3"/>
      <c r="P122" s="3"/>
      <c r="Q122" s="3"/>
      <c r="R122" s="4" t="s">
        <v>35</v>
      </c>
      <c r="S122" s="3"/>
      <c r="T122" s="4" t="str">
        <f>""</f>
        <v/>
      </c>
      <c r="U122" s="4" t="str">
        <f>"NCIA10371872"</f>
        <v>NCIA10371872</v>
      </c>
      <c r="V122" s="4" t="str">
        <f>""</f>
        <v/>
      </c>
      <c r="W122" s="4" t="s">
        <v>36</v>
      </c>
      <c r="X122" s="4" t="str">
        <f>"02MQ7"</f>
        <v>02MQ7</v>
      </c>
      <c r="Y122" s="4" t="str">
        <f>"11099-05028"</f>
        <v>11099-05028</v>
      </c>
      <c r="Z122" s="4" t="str">
        <f>""</f>
        <v/>
      </c>
      <c r="AA122" s="4" t="str">
        <f>""</f>
        <v/>
      </c>
      <c r="AB122" s="5">
        <v>43465</v>
      </c>
      <c r="AC122" s="4">
        <v>0</v>
      </c>
    </row>
    <row r="123" spans="1:29" ht="14.45" customHeight="1" x14ac:dyDescent="0.25">
      <c r="A123" s="4" t="s">
        <v>25</v>
      </c>
      <c r="B123" s="4" t="s">
        <v>26</v>
      </c>
      <c r="C123" s="4" t="s">
        <v>27</v>
      </c>
      <c r="D123" s="4" t="s">
        <v>28</v>
      </c>
      <c r="E123" s="4" t="s">
        <v>26</v>
      </c>
      <c r="F123" s="4" t="s">
        <v>318</v>
      </c>
      <c r="G123" s="4" t="s">
        <v>318</v>
      </c>
      <c r="H123" s="4" t="s">
        <v>319</v>
      </c>
      <c r="I123" s="4" t="s">
        <v>68</v>
      </c>
      <c r="J123" s="4" t="str">
        <f>"6130SB0039092"</f>
        <v>6130SB0039092</v>
      </c>
      <c r="K123" s="4" t="s">
        <v>104</v>
      </c>
      <c r="L123" s="4" t="str">
        <f>""</f>
        <v/>
      </c>
      <c r="M123" s="4" t="str">
        <f>""</f>
        <v/>
      </c>
      <c r="N123" s="4" t="s">
        <v>34</v>
      </c>
      <c r="O123" s="3"/>
      <c r="P123" s="3"/>
      <c r="Q123" s="3"/>
      <c r="R123" s="4" t="s">
        <v>35</v>
      </c>
      <c r="S123" s="3"/>
      <c r="T123" s="4" t="str">
        <f>""</f>
        <v/>
      </c>
      <c r="U123" s="4" t="str">
        <f>"NCIA10371873"</f>
        <v>NCIA10371873</v>
      </c>
      <c r="V123" s="4" t="str">
        <f>""</f>
        <v/>
      </c>
      <c r="W123" s="4" t="s">
        <v>36</v>
      </c>
      <c r="X123" s="4" t="str">
        <f>"02MQ7"</f>
        <v>02MQ7</v>
      </c>
      <c r="Y123" s="4" t="str">
        <f>"11099-05008"</f>
        <v>11099-05008</v>
      </c>
      <c r="Z123" s="4" t="str">
        <f>""</f>
        <v/>
      </c>
      <c r="AA123" s="4" t="str">
        <f>""</f>
        <v/>
      </c>
      <c r="AB123" s="5">
        <v>43465</v>
      </c>
      <c r="AC123" s="4">
        <v>0</v>
      </c>
    </row>
    <row r="124" spans="1:29" ht="14.45" customHeight="1" x14ac:dyDescent="0.25">
      <c r="A124" s="4" t="s">
        <v>25</v>
      </c>
      <c r="B124" s="4" t="s">
        <v>26</v>
      </c>
      <c r="C124" s="4" t="s">
        <v>27</v>
      </c>
      <c r="D124" s="4" t="s">
        <v>28</v>
      </c>
      <c r="E124" s="4" t="s">
        <v>26</v>
      </c>
      <c r="F124" s="4" t="s">
        <v>318</v>
      </c>
      <c r="G124" s="4" t="s">
        <v>318</v>
      </c>
      <c r="H124" s="4" t="s">
        <v>319</v>
      </c>
      <c r="I124" s="4" t="s">
        <v>108</v>
      </c>
      <c r="J124" s="4" t="str">
        <f>"6605SB0002421"</f>
        <v>6605SB0002421</v>
      </c>
      <c r="K124" s="4" t="s">
        <v>109</v>
      </c>
      <c r="L124" s="4" t="str">
        <f>""</f>
        <v/>
      </c>
      <c r="M124" s="4" t="str">
        <f>""</f>
        <v/>
      </c>
      <c r="N124" s="4" t="s">
        <v>34</v>
      </c>
      <c r="O124" s="3"/>
      <c r="P124" s="3"/>
      <c r="Q124" s="3"/>
      <c r="R124" s="4" t="s">
        <v>35</v>
      </c>
      <c r="S124" s="3"/>
      <c r="T124" s="4" t="str">
        <f>"10537-08008"</f>
        <v>10537-08008</v>
      </c>
      <c r="U124" s="4" t="str">
        <f>"01-117007"</f>
        <v>01-117007</v>
      </c>
      <c r="V124" s="4" t="str">
        <f>"1001077"</f>
        <v>1001077</v>
      </c>
      <c r="W124" s="4" t="s">
        <v>36</v>
      </c>
      <c r="X124" s="4" t="str">
        <f>"02MQ7"</f>
        <v>02MQ7</v>
      </c>
      <c r="Y124" s="4" t="str">
        <f>"10537-08008"</f>
        <v>10537-08008</v>
      </c>
      <c r="Z124" s="4" t="str">
        <f>""</f>
        <v/>
      </c>
      <c r="AA124" s="4" t="str">
        <f>""</f>
        <v/>
      </c>
      <c r="AB124" s="5">
        <v>43465</v>
      </c>
      <c r="AC124" s="4">
        <v>0</v>
      </c>
    </row>
    <row r="125" spans="1:29" ht="14.45" customHeight="1" x14ac:dyDescent="0.25">
      <c r="A125" s="4" t="s">
        <v>25</v>
      </c>
      <c r="B125" s="4" t="s">
        <v>26</v>
      </c>
      <c r="C125" s="4" t="s">
        <v>27</v>
      </c>
      <c r="D125" s="4" t="s">
        <v>28</v>
      </c>
      <c r="E125" s="4" t="s">
        <v>26</v>
      </c>
      <c r="F125" s="4" t="s">
        <v>318</v>
      </c>
      <c r="G125" s="4" t="s">
        <v>318</v>
      </c>
      <c r="H125" s="4" t="s">
        <v>319</v>
      </c>
      <c r="I125" s="4" t="s">
        <v>108</v>
      </c>
      <c r="J125" s="4" t="str">
        <f>"6605SB0002421"</f>
        <v>6605SB0002421</v>
      </c>
      <c r="K125" s="4" t="s">
        <v>109</v>
      </c>
      <c r="L125" s="4" t="str">
        <f>""</f>
        <v/>
      </c>
      <c r="M125" s="4" t="str">
        <f>""</f>
        <v/>
      </c>
      <c r="N125" s="4" t="s">
        <v>34</v>
      </c>
      <c r="O125" s="3"/>
      <c r="P125" s="3"/>
      <c r="Q125" s="3"/>
      <c r="R125" s="4" t="s">
        <v>35</v>
      </c>
      <c r="S125" s="3"/>
      <c r="T125" s="4" t="str">
        <f>"10537-08008"</f>
        <v>10537-08008</v>
      </c>
      <c r="U125" s="4" t="str">
        <f>"01-128340"</f>
        <v>01-128340</v>
      </c>
      <c r="V125" s="4" t="str">
        <f>"1001083"</f>
        <v>1001083</v>
      </c>
      <c r="W125" s="4" t="s">
        <v>36</v>
      </c>
      <c r="X125" s="4" t="str">
        <f>"02MQ7"</f>
        <v>02MQ7</v>
      </c>
      <c r="Y125" s="4" t="str">
        <f>"10537-08008"</f>
        <v>10537-08008</v>
      </c>
      <c r="Z125" s="4" t="str">
        <f>""</f>
        <v/>
      </c>
      <c r="AA125" s="4" t="str">
        <f>""</f>
        <v/>
      </c>
      <c r="AB125" s="5">
        <v>43465</v>
      </c>
      <c r="AC125" s="4">
        <v>0</v>
      </c>
    </row>
    <row r="126" spans="1:29" ht="14.45" customHeight="1" x14ac:dyDescent="0.25">
      <c r="A126" s="4" t="s">
        <v>25</v>
      </c>
      <c r="B126" s="4" t="s">
        <v>26</v>
      </c>
      <c r="C126" s="4" t="s">
        <v>27</v>
      </c>
      <c r="D126" s="4" t="s">
        <v>28</v>
      </c>
      <c r="E126" s="4" t="s">
        <v>26</v>
      </c>
      <c r="F126" s="4" t="s">
        <v>318</v>
      </c>
      <c r="G126" s="4" t="s">
        <v>318</v>
      </c>
      <c r="H126" s="4" t="s">
        <v>319</v>
      </c>
      <c r="I126" s="4" t="s">
        <v>296</v>
      </c>
      <c r="J126" s="4" t="str">
        <f>"6605SB0004140"</f>
        <v>6605SB0004140</v>
      </c>
      <c r="K126" s="4" t="s">
        <v>337</v>
      </c>
      <c r="L126" s="4" t="str">
        <f>""</f>
        <v/>
      </c>
      <c r="M126" s="4" t="str">
        <f>""</f>
        <v/>
      </c>
      <c r="N126" s="4" t="s">
        <v>34</v>
      </c>
      <c r="O126" s="3"/>
      <c r="P126" s="3"/>
      <c r="Q126" s="3"/>
      <c r="R126" s="4" t="s">
        <v>35</v>
      </c>
      <c r="S126" s="3"/>
      <c r="T126" s="4" t="str">
        <f>"10537-05059"</f>
        <v>10537-05059</v>
      </c>
      <c r="U126" s="4" t="str">
        <f>"NCIAX11187250"</f>
        <v>NCIAX11187250</v>
      </c>
      <c r="V126" s="4" t="str">
        <f>""</f>
        <v/>
      </c>
      <c r="W126" s="4" t="s">
        <v>36</v>
      </c>
      <c r="X126" s="4" t="str">
        <f>"02MQ7"</f>
        <v>02MQ7</v>
      </c>
      <c r="Y126" s="4" t="str">
        <f>"10537-05059"</f>
        <v>10537-05059</v>
      </c>
      <c r="Z126" s="4" t="str">
        <f>""</f>
        <v/>
      </c>
      <c r="AA126" s="4" t="str">
        <f>""</f>
        <v/>
      </c>
      <c r="AB126" s="5">
        <v>43465</v>
      </c>
      <c r="AC126" s="4">
        <v>0</v>
      </c>
    </row>
    <row r="127" spans="1:29" ht="14.45" customHeight="1" x14ac:dyDescent="0.25">
      <c r="A127" s="4" t="s">
        <v>25</v>
      </c>
      <c r="B127" s="4" t="s">
        <v>26</v>
      </c>
      <c r="C127" s="4" t="s">
        <v>27</v>
      </c>
      <c r="D127" s="4" t="s">
        <v>28</v>
      </c>
      <c r="E127" s="4" t="s">
        <v>26</v>
      </c>
      <c r="F127" s="4" t="s">
        <v>318</v>
      </c>
      <c r="G127" s="4" t="s">
        <v>318</v>
      </c>
      <c r="H127" s="4" t="s">
        <v>338</v>
      </c>
      <c r="I127" s="4" t="s">
        <v>298</v>
      </c>
      <c r="J127" s="4" t="str">
        <f>"6625SB0002357"</f>
        <v>6625SB0002357</v>
      </c>
      <c r="K127" s="4" t="s">
        <v>299</v>
      </c>
      <c r="L127" s="4" t="str">
        <f>""</f>
        <v/>
      </c>
      <c r="M127" s="4" t="str">
        <f>""</f>
        <v/>
      </c>
      <c r="N127" s="4" t="s">
        <v>34</v>
      </c>
      <c r="O127" s="3"/>
      <c r="P127" s="3"/>
      <c r="Q127" s="3"/>
      <c r="R127" s="4" t="s">
        <v>35</v>
      </c>
      <c r="S127" s="3"/>
      <c r="T127" s="4" t="str">
        <f>"2658A"</f>
        <v>2658A</v>
      </c>
      <c r="U127" s="4" t="str">
        <f>"NCIA10309936"</f>
        <v>NCIA10309936</v>
      </c>
      <c r="V127" s="4" t="str">
        <f>"269116103"</f>
        <v>269116103</v>
      </c>
      <c r="W127" s="4" t="s">
        <v>36</v>
      </c>
      <c r="X127" s="4" t="str">
        <f>"08098"</f>
        <v>08098</v>
      </c>
      <c r="Y127" s="4" t="str">
        <f>"2658A"</f>
        <v>2658A</v>
      </c>
      <c r="Z127" s="4" t="str">
        <f>""</f>
        <v/>
      </c>
      <c r="AA127" s="4" t="str">
        <f>""</f>
        <v/>
      </c>
      <c r="AB127" s="5">
        <v>43465</v>
      </c>
      <c r="AC127" s="4">
        <v>0</v>
      </c>
    </row>
    <row r="128" spans="1:29" ht="14.45" customHeight="1" x14ac:dyDescent="0.25">
      <c r="A128" s="4" t="s">
        <v>25</v>
      </c>
      <c r="B128" s="4" t="s">
        <v>26</v>
      </c>
      <c r="C128" s="4" t="s">
        <v>27</v>
      </c>
      <c r="D128" s="4" t="s">
        <v>28</v>
      </c>
      <c r="E128" s="4" t="s">
        <v>26</v>
      </c>
      <c r="F128" s="4" t="s">
        <v>318</v>
      </c>
      <c r="G128" s="4" t="s">
        <v>318</v>
      </c>
      <c r="H128" s="4" t="s">
        <v>338</v>
      </c>
      <c r="I128" s="4" t="s">
        <v>300</v>
      </c>
      <c r="J128" s="4" t="str">
        <f>"6625SB0003360"</f>
        <v>6625SB0003360</v>
      </c>
      <c r="K128" s="4" t="s">
        <v>301</v>
      </c>
      <c r="L128" s="4" t="str">
        <f>""</f>
        <v/>
      </c>
      <c r="M128" s="4" t="str">
        <f>""</f>
        <v/>
      </c>
      <c r="N128" s="4" t="s">
        <v>34</v>
      </c>
      <c r="O128" s="3"/>
      <c r="P128" s="3"/>
      <c r="Q128" s="3"/>
      <c r="R128" s="4" t="s">
        <v>35</v>
      </c>
      <c r="S128" s="3"/>
      <c r="T128" s="4" t="str">
        <f>"6625013128743"</f>
        <v>6625013128743</v>
      </c>
      <c r="U128" s="4" t="str">
        <f>"NCIA10309938"</f>
        <v>NCIA10309938</v>
      </c>
      <c r="V128" s="4" t="str">
        <f>"MY56430004"</f>
        <v>MY56430004</v>
      </c>
      <c r="W128" s="4" t="s">
        <v>36</v>
      </c>
      <c r="X128" s="4" t="str">
        <f>"L3304"</f>
        <v>L3304</v>
      </c>
      <c r="Y128" s="4" t="str">
        <f>"8481D"</f>
        <v>8481D</v>
      </c>
      <c r="Z128" s="4" t="str">
        <f>""</f>
        <v/>
      </c>
      <c r="AA128" s="4" t="str">
        <f>""</f>
        <v/>
      </c>
      <c r="AB128" s="5">
        <v>43465</v>
      </c>
      <c r="AC128" s="4">
        <v>0</v>
      </c>
    </row>
    <row r="129" spans="1:29" ht="14.45" customHeight="1" x14ac:dyDescent="0.25">
      <c r="A129" s="4" t="s">
        <v>25</v>
      </c>
      <c r="B129" s="4" t="s">
        <v>26</v>
      </c>
      <c r="C129" s="4" t="s">
        <v>27</v>
      </c>
      <c r="D129" s="4" t="s">
        <v>28</v>
      </c>
      <c r="E129" s="4" t="s">
        <v>26</v>
      </c>
      <c r="F129" s="4" t="s">
        <v>318</v>
      </c>
      <c r="G129" s="4" t="s">
        <v>318</v>
      </c>
      <c r="H129" s="4" t="s">
        <v>319</v>
      </c>
      <c r="I129" s="4" t="s">
        <v>113</v>
      </c>
      <c r="J129" s="4" t="str">
        <f>"6625SB0003458"</f>
        <v>6625SB0003458</v>
      </c>
      <c r="K129" s="4" t="s">
        <v>114</v>
      </c>
      <c r="L129" s="4" t="str">
        <f>""</f>
        <v/>
      </c>
      <c r="M129" s="4" t="str">
        <f>""</f>
        <v/>
      </c>
      <c r="N129" s="4" t="s">
        <v>34</v>
      </c>
      <c r="O129" s="3"/>
      <c r="P129" s="3"/>
      <c r="Q129" s="3"/>
      <c r="R129" s="4" t="s">
        <v>35</v>
      </c>
      <c r="S129" s="3"/>
      <c r="T129" s="4" t="str">
        <f>"10537-05013"</f>
        <v>10537-05013</v>
      </c>
      <c r="U129" s="4" t="str">
        <f>"01-116996"</f>
        <v>01-116996</v>
      </c>
      <c r="V129" s="4" t="str">
        <f>"1000859"</f>
        <v>1000859</v>
      </c>
      <c r="W129" s="4" t="s">
        <v>36</v>
      </c>
      <c r="X129" s="4" t="str">
        <f>"02MQ7"</f>
        <v>02MQ7</v>
      </c>
      <c r="Y129" s="4" t="str">
        <f>"10537-05013"</f>
        <v>10537-05013</v>
      </c>
      <c r="Z129" s="4" t="str">
        <f>""</f>
        <v/>
      </c>
      <c r="AA129" s="4" t="str">
        <f>""</f>
        <v/>
      </c>
      <c r="AB129" s="5">
        <v>43465</v>
      </c>
      <c r="AC129" s="4">
        <v>0</v>
      </c>
    </row>
    <row r="130" spans="1:29" ht="14.45" customHeight="1" x14ac:dyDescent="0.25">
      <c r="A130" s="4" t="s">
        <v>25</v>
      </c>
      <c r="B130" s="4" t="s">
        <v>26</v>
      </c>
      <c r="C130" s="4" t="s">
        <v>27</v>
      </c>
      <c r="D130" s="4" t="s">
        <v>28</v>
      </c>
      <c r="E130" s="4" t="s">
        <v>26</v>
      </c>
      <c r="F130" s="4" t="s">
        <v>318</v>
      </c>
      <c r="G130" s="4" t="s">
        <v>318</v>
      </c>
      <c r="H130" s="4" t="s">
        <v>319</v>
      </c>
      <c r="I130" s="4" t="s">
        <v>113</v>
      </c>
      <c r="J130" s="4" t="str">
        <f>"6625SB0003968"</f>
        <v>6625SB0003968</v>
      </c>
      <c r="K130" s="4" t="s">
        <v>306</v>
      </c>
      <c r="L130" s="4" t="str">
        <f>""</f>
        <v/>
      </c>
      <c r="M130" s="4" t="str">
        <f>""</f>
        <v/>
      </c>
      <c r="N130" s="4" t="s">
        <v>34</v>
      </c>
      <c r="O130" s="3"/>
      <c r="P130" s="3"/>
      <c r="Q130" s="3"/>
      <c r="R130" s="4" t="s">
        <v>35</v>
      </c>
      <c r="S130" s="3"/>
      <c r="T130" s="4" t="str">
        <f>"TL2084EB"</f>
        <v>TL2084EB</v>
      </c>
      <c r="U130" s="4" t="str">
        <f>"01-117112"</f>
        <v>01-117112</v>
      </c>
      <c r="V130" s="4" t="str">
        <f>"6439267"</f>
        <v>6439267</v>
      </c>
      <c r="W130" s="4" t="s">
        <v>36</v>
      </c>
      <c r="X130" s="4" t="str">
        <f>"02MQ7"</f>
        <v>02MQ7</v>
      </c>
      <c r="Y130" s="4" t="str">
        <f>"TL2084EB"</f>
        <v>TL2084EB</v>
      </c>
      <c r="Z130" s="4" t="str">
        <f>""</f>
        <v/>
      </c>
      <c r="AA130" s="4" t="str">
        <f>""</f>
        <v/>
      </c>
      <c r="AB130" s="5">
        <v>43465</v>
      </c>
      <c r="AC130" s="4">
        <v>0</v>
      </c>
    </row>
    <row r="131" spans="1:29" ht="14.45" customHeight="1" x14ac:dyDescent="0.25">
      <c r="A131" s="4" t="s">
        <v>25</v>
      </c>
      <c r="B131" s="4" t="s">
        <v>26</v>
      </c>
      <c r="C131" s="4" t="s">
        <v>27</v>
      </c>
      <c r="D131" s="4" t="s">
        <v>28</v>
      </c>
      <c r="E131" s="4" t="s">
        <v>26</v>
      </c>
      <c r="F131" s="4" t="s">
        <v>318</v>
      </c>
      <c r="G131" s="4" t="s">
        <v>318</v>
      </c>
      <c r="H131" s="4" t="s">
        <v>319</v>
      </c>
      <c r="I131" s="4" t="s">
        <v>66</v>
      </c>
      <c r="J131" s="4" t="str">
        <f>"6625SB0004289"</f>
        <v>6625SB0004289</v>
      </c>
      <c r="K131" s="4" t="s">
        <v>307</v>
      </c>
      <c r="L131" s="4" t="str">
        <f>""</f>
        <v/>
      </c>
      <c r="M131" s="4" t="str">
        <f>""</f>
        <v/>
      </c>
      <c r="N131" s="4" t="s">
        <v>34</v>
      </c>
      <c r="O131" s="3"/>
      <c r="P131" s="3"/>
      <c r="Q131" s="3"/>
      <c r="R131" s="4" t="s">
        <v>35</v>
      </c>
      <c r="S131" s="3"/>
      <c r="T131" s="4" t="str">
        <f>"S6200R1A0C0A0A0"</f>
        <v>S6200R1A0C0A0A0</v>
      </c>
      <c r="U131" s="4" t="str">
        <f>"01-117105"</f>
        <v>01-117105</v>
      </c>
      <c r="V131" s="4" t="str">
        <f>"LY-091000075-01"</f>
        <v>LY-091000075-01</v>
      </c>
      <c r="W131" s="4" t="s">
        <v>36</v>
      </c>
      <c r="X131" s="4" t="str">
        <f>"KC2A7"</f>
        <v>KC2A7</v>
      </c>
      <c r="Y131" s="4" t="str">
        <f>"S6200R1A0C0A0A0P"</f>
        <v>S6200R1A0C0A0A0P</v>
      </c>
      <c r="Z131" s="4" t="str">
        <f>""</f>
        <v/>
      </c>
      <c r="AA131" s="4" t="str">
        <f>""</f>
        <v/>
      </c>
      <c r="AB131" s="5">
        <v>43465</v>
      </c>
      <c r="AC131" s="4">
        <v>0</v>
      </c>
    </row>
    <row r="132" spans="1:29" ht="14.45" customHeight="1" x14ac:dyDescent="0.25">
      <c r="A132" s="4" t="s">
        <v>25</v>
      </c>
      <c r="B132" s="4" t="s">
        <v>26</v>
      </c>
      <c r="C132" s="4" t="s">
        <v>27</v>
      </c>
      <c r="D132" s="4" t="s">
        <v>28</v>
      </c>
      <c r="E132" s="4" t="s">
        <v>26</v>
      </c>
      <c r="F132" s="4" t="s">
        <v>318</v>
      </c>
      <c r="G132" s="4" t="s">
        <v>318</v>
      </c>
      <c r="H132" s="4" t="s">
        <v>319</v>
      </c>
      <c r="I132" s="4" t="s">
        <v>113</v>
      </c>
      <c r="J132" s="4" t="str">
        <f>"6625SB0005866"</f>
        <v>6625SB0005866</v>
      </c>
      <c r="K132" s="4" t="s">
        <v>308</v>
      </c>
      <c r="L132" s="4" t="str">
        <f>""</f>
        <v/>
      </c>
      <c r="M132" s="4" t="str">
        <f>""</f>
        <v/>
      </c>
      <c r="N132" s="4" t="s">
        <v>34</v>
      </c>
      <c r="O132" s="3"/>
      <c r="P132" s="3"/>
      <c r="Q132" s="3"/>
      <c r="R132" s="4" t="s">
        <v>35</v>
      </c>
      <c r="S132" s="3"/>
      <c r="T132" s="4" t="str">
        <f>"6625016081940"</f>
        <v>6625016081940</v>
      </c>
      <c r="U132" s="4" t="str">
        <f>"03-114127"</f>
        <v>03-114127</v>
      </c>
      <c r="V132" s="4" t="str">
        <f>"19780036"</f>
        <v>19780036</v>
      </c>
      <c r="W132" s="4" t="s">
        <v>36</v>
      </c>
      <c r="X132" s="4" t="str">
        <f>"89536"</f>
        <v>89536</v>
      </c>
      <c r="Y132" s="4" t="str">
        <f>"FLUKE 28 II"</f>
        <v>FLUKE 28 II</v>
      </c>
      <c r="Z132" s="4" t="str">
        <f>""</f>
        <v/>
      </c>
      <c r="AA132" s="4" t="str">
        <f>""</f>
        <v/>
      </c>
      <c r="AB132" s="5">
        <v>43465</v>
      </c>
      <c r="AC132" s="4">
        <v>0</v>
      </c>
    </row>
    <row r="133" spans="1:29" ht="14.45" customHeight="1" x14ac:dyDescent="0.25">
      <c r="A133" s="4" t="s">
        <v>25</v>
      </c>
      <c r="B133" s="4" t="s">
        <v>26</v>
      </c>
      <c r="C133" s="4" t="s">
        <v>27</v>
      </c>
      <c r="D133" s="4" t="s">
        <v>28</v>
      </c>
      <c r="E133" s="4" t="s">
        <v>26</v>
      </c>
      <c r="F133" s="4" t="s">
        <v>318</v>
      </c>
      <c r="G133" s="4" t="s">
        <v>318</v>
      </c>
      <c r="H133" s="4" t="s">
        <v>319</v>
      </c>
      <c r="I133" s="4" t="s">
        <v>309</v>
      </c>
      <c r="J133" s="4" t="str">
        <f>"6625SB0006933"</f>
        <v>6625SB0006933</v>
      </c>
      <c r="K133" s="4" t="s">
        <v>310</v>
      </c>
      <c r="L133" s="4" t="str">
        <f>""</f>
        <v/>
      </c>
      <c r="M133" s="4" t="str">
        <f>""</f>
        <v/>
      </c>
      <c r="N133" s="4" t="s">
        <v>34</v>
      </c>
      <c r="O133" s="3"/>
      <c r="P133" s="3"/>
      <c r="Q133" s="3"/>
      <c r="R133" s="4" t="s">
        <v>35</v>
      </c>
      <c r="S133" s="3"/>
      <c r="T133" s="4" t="str">
        <f>"5985011056211"</f>
        <v>5985011056211</v>
      </c>
      <c r="U133" s="4" t="str">
        <f>"03-90418"</f>
        <v>03-90418</v>
      </c>
      <c r="V133" s="4" t="str">
        <f>"39402"</f>
        <v>39402</v>
      </c>
      <c r="W133" s="4" t="s">
        <v>36</v>
      </c>
      <c r="X133" s="4" t="str">
        <f>"28480"</f>
        <v>28480</v>
      </c>
      <c r="Y133" s="4" t="str">
        <f>"11708A"</f>
        <v>11708A</v>
      </c>
      <c r="Z133" s="4" t="str">
        <f>""</f>
        <v/>
      </c>
      <c r="AA133" s="4" t="str">
        <f>""</f>
        <v/>
      </c>
      <c r="AB133" s="5">
        <v>43465</v>
      </c>
      <c r="AC133" s="4">
        <v>0</v>
      </c>
    </row>
    <row r="134" spans="1:29" ht="14.45" customHeight="1" x14ac:dyDescent="0.25">
      <c r="A134" s="4" t="s">
        <v>25</v>
      </c>
      <c r="B134" s="4" t="s">
        <v>26</v>
      </c>
      <c r="C134" s="4" t="s">
        <v>27</v>
      </c>
      <c r="D134" s="4" t="s">
        <v>28</v>
      </c>
      <c r="E134" s="4" t="s">
        <v>26</v>
      </c>
      <c r="F134" s="4" t="s">
        <v>318</v>
      </c>
      <c r="G134" s="4" t="s">
        <v>318</v>
      </c>
      <c r="H134" s="4" t="s">
        <v>338</v>
      </c>
      <c r="I134" s="4" t="s">
        <v>113</v>
      </c>
      <c r="J134" s="4" t="str">
        <f>"6625SB0008497"</f>
        <v>6625SB0008497</v>
      </c>
      <c r="K134" s="4" t="s">
        <v>311</v>
      </c>
      <c r="L134" s="4" t="str">
        <f>""</f>
        <v/>
      </c>
      <c r="M134" s="4" t="str">
        <f>""</f>
        <v/>
      </c>
      <c r="N134" s="4" t="s">
        <v>34</v>
      </c>
      <c r="O134" s="3"/>
      <c r="P134" s="3"/>
      <c r="Q134" s="3"/>
      <c r="R134" s="4" t="s">
        <v>35</v>
      </c>
      <c r="S134" s="3"/>
      <c r="T134" s="4" t="str">
        <f>"BW-N10W5+"</f>
        <v>BW-N10W5+</v>
      </c>
      <c r="U134" s="4" t="str">
        <f>"NCIA10311128"</f>
        <v>NCIA10311128</v>
      </c>
      <c r="V134" s="4" t="str">
        <f>"21-10"</f>
        <v>21-10</v>
      </c>
      <c r="W134" s="4" t="s">
        <v>36</v>
      </c>
      <c r="X134" s="4" t="str">
        <f>"1AV65"</f>
        <v>1AV65</v>
      </c>
      <c r="Y134" s="4" t="str">
        <f>"BW-N10W5+"</f>
        <v>BW-N10W5+</v>
      </c>
      <c r="Z134" s="4" t="str">
        <f>""</f>
        <v/>
      </c>
      <c r="AA134" s="4" t="str">
        <f>""</f>
        <v/>
      </c>
      <c r="AB134" s="5">
        <v>43465</v>
      </c>
      <c r="AC134" s="4">
        <v>0</v>
      </c>
    </row>
    <row r="135" spans="1:29" ht="14.45" customHeight="1" x14ac:dyDescent="0.25">
      <c r="A135" s="4" t="s">
        <v>25</v>
      </c>
      <c r="B135" s="4" t="s">
        <v>26</v>
      </c>
      <c r="C135" s="4" t="s">
        <v>27</v>
      </c>
      <c r="D135" s="4" t="s">
        <v>28</v>
      </c>
      <c r="E135" s="4" t="s">
        <v>26</v>
      </c>
      <c r="F135" s="4" t="s">
        <v>318</v>
      </c>
      <c r="G135" s="4" t="s">
        <v>318</v>
      </c>
      <c r="H135" s="4" t="s">
        <v>338</v>
      </c>
      <c r="I135" s="4" t="s">
        <v>113</v>
      </c>
      <c r="J135" s="4" t="str">
        <f>"6625SB0008498"</f>
        <v>6625SB0008498</v>
      </c>
      <c r="K135" s="4" t="s">
        <v>312</v>
      </c>
      <c r="L135" s="4" t="str">
        <f>""</f>
        <v/>
      </c>
      <c r="M135" s="4" t="str">
        <f>""</f>
        <v/>
      </c>
      <c r="N135" s="4" t="s">
        <v>34</v>
      </c>
      <c r="O135" s="3"/>
      <c r="P135" s="3"/>
      <c r="Q135" s="3"/>
      <c r="R135" s="4" t="s">
        <v>35</v>
      </c>
      <c r="S135" s="3"/>
      <c r="T135" s="4" t="str">
        <f>"BW-N20W5+"</f>
        <v>BW-N20W5+</v>
      </c>
      <c r="U135" s="4" t="str">
        <f>"NCIA10311129"</f>
        <v>NCIA10311129</v>
      </c>
      <c r="V135" s="4" t="str">
        <f>"21-20"</f>
        <v>21-20</v>
      </c>
      <c r="W135" s="4" t="s">
        <v>36</v>
      </c>
      <c r="X135" s="4" t="str">
        <f>"1AV65"</f>
        <v>1AV65</v>
      </c>
      <c r="Y135" s="4" t="str">
        <f>"BW-N20W5+"</f>
        <v>BW-N20W5+</v>
      </c>
      <c r="Z135" s="4" t="str">
        <f>""</f>
        <v/>
      </c>
      <c r="AA135" s="4" t="str">
        <f>""</f>
        <v/>
      </c>
      <c r="AB135" s="5">
        <v>43465</v>
      </c>
      <c r="AC135" s="4">
        <v>0</v>
      </c>
    </row>
    <row r="136" spans="1:29" ht="14.45" customHeight="1" x14ac:dyDescent="0.25">
      <c r="A136" s="4" t="s">
        <v>25</v>
      </c>
      <c r="B136" s="4" t="s">
        <v>26</v>
      </c>
      <c r="C136" s="4" t="s">
        <v>27</v>
      </c>
      <c r="D136" s="4" t="s">
        <v>28</v>
      </c>
      <c r="E136" s="4" t="s">
        <v>26</v>
      </c>
      <c r="F136" s="4" t="s">
        <v>318</v>
      </c>
      <c r="G136" s="4" t="s">
        <v>318</v>
      </c>
      <c r="H136" s="4" t="s">
        <v>338</v>
      </c>
      <c r="I136" s="4" t="s">
        <v>113</v>
      </c>
      <c r="J136" s="4" t="str">
        <f>"6625SB0008499"</f>
        <v>6625SB0008499</v>
      </c>
      <c r="K136" s="4" t="s">
        <v>313</v>
      </c>
      <c r="L136" s="4" t="str">
        <f>""</f>
        <v/>
      </c>
      <c r="M136" s="4" t="str">
        <f>""</f>
        <v/>
      </c>
      <c r="N136" s="4" t="s">
        <v>34</v>
      </c>
      <c r="O136" s="3"/>
      <c r="P136" s="3"/>
      <c r="Q136" s="3"/>
      <c r="R136" s="4" t="s">
        <v>35</v>
      </c>
      <c r="S136" s="3"/>
      <c r="T136" s="4" t="str">
        <f>"BW-N3W5+"</f>
        <v>BW-N3W5+</v>
      </c>
      <c r="U136" s="4" t="str">
        <f>"NCIA10311130"</f>
        <v>NCIA10311130</v>
      </c>
      <c r="V136" s="4" t="str">
        <f>"21-03"</f>
        <v>21-03</v>
      </c>
      <c r="W136" s="4" t="s">
        <v>36</v>
      </c>
      <c r="X136" s="4" t="str">
        <f>"1AV65"</f>
        <v>1AV65</v>
      </c>
      <c r="Y136" s="4" t="str">
        <f>"BW-N3W5+"</f>
        <v>BW-N3W5+</v>
      </c>
      <c r="Z136" s="4" t="str">
        <f>""</f>
        <v/>
      </c>
      <c r="AA136" s="4" t="str">
        <f>""</f>
        <v/>
      </c>
      <c r="AB136" s="5">
        <v>43465</v>
      </c>
      <c r="AC136" s="4">
        <v>0</v>
      </c>
    </row>
    <row r="137" spans="1:29" ht="14.45" customHeight="1" x14ac:dyDescent="0.25">
      <c r="A137" s="4" t="s">
        <v>25</v>
      </c>
      <c r="B137" s="4" t="s">
        <v>26</v>
      </c>
      <c r="C137" s="4" t="s">
        <v>27</v>
      </c>
      <c r="D137" s="4" t="s">
        <v>28</v>
      </c>
      <c r="E137" s="4" t="s">
        <v>26</v>
      </c>
      <c r="F137" s="4" t="s">
        <v>318</v>
      </c>
      <c r="G137" s="4" t="s">
        <v>318</v>
      </c>
      <c r="H137" s="4" t="s">
        <v>338</v>
      </c>
      <c r="I137" s="4" t="s">
        <v>113</v>
      </c>
      <c r="J137" s="4" t="str">
        <f>"6625SB0008500"</f>
        <v>6625SB0008500</v>
      </c>
      <c r="K137" s="4" t="s">
        <v>314</v>
      </c>
      <c r="L137" s="4" t="str">
        <f>""</f>
        <v/>
      </c>
      <c r="M137" s="4" t="str">
        <f>""</f>
        <v/>
      </c>
      <c r="N137" s="4" t="s">
        <v>34</v>
      </c>
      <c r="O137" s="3"/>
      <c r="P137" s="3"/>
      <c r="Q137" s="3"/>
      <c r="R137" s="4" t="s">
        <v>35</v>
      </c>
      <c r="S137" s="3"/>
      <c r="T137" s="4" t="str">
        <f>"BW-N6W5+"</f>
        <v>BW-N6W5+</v>
      </c>
      <c r="U137" s="4" t="str">
        <f>"NCIA10311131"</f>
        <v>NCIA10311131</v>
      </c>
      <c r="V137" s="4" t="str">
        <f>"21-06"</f>
        <v>21-06</v>
      </c>
      <c r="W137" s="4" t="s">
        <v>36</v>
      </c>
      <c r="X137" s="4" t="str">
        <f>"1AV65"</f>
        <v>1AV65</v>
      </c>
      <c r="Y137" s="4" t="str">
        <f>"BW-N6W5+"</f>
        <v>BW-N6W5+</v>
      </c>
      <c r="Z137" s="4" t="str">
        <f>""</f>
        <v/>
      </c>
      <c r="AA137" s="4" t="str">
        <f>""</f>
        <v/>
      </c>
      <c r="AB137" s="5">
        <v>43465</v>
      </c>
      <c r="AC137" s="4">
        <v>0</v>
      </c>
    </row>
    <row r="138" spans="1:29" ht="14.45" customHeight="1" x14ac:dyDescent="0.25">
      <c r="A138" s="4" t="s">
        <v>25</v>
      </c>
      <c r="B138" s="4" t="s">
        <v>26</v>
      </c>
      <c r="C138" s="4" t="s">
        <v>27</v>
      </c>
      <c r="D138" s="4" t="s">
        <v>28</v>
      </c>
      <c r="E138" s="4" t="s">
        <v>26</v>
      </c>
      <c r="F138" s="4" t="s">
        <v>318</v>
      </c>
      <c r="G138" s="4" t="s">
        <v>318</v>
      </c>
      <c r="H138" s="4" t="s">
        <v>319</v>
      </c>
      <c r="I138" s="4" t="s">
        <v>339</v>
      </c>
      <c r="J138" s="4" t="str">
        <f>"7021SB0039067"</f>
        <v>7021SB0039067</v>
      </c>
      <c r="K138" s="4" t="s">
        <v>340</v>
      </c>
      <c r="L138" s="4" t="str">
        <f>""</f>
        <v/>
      </c>
      <c r="M138" s="4" t="str">
        <f>""</f>
        <v/>
      </c>
      <c r="N138" s="4" t="s">
        <v>34</v>
      </c>
      <c r="O138" s="3"/>
      <c r="P138" s="3"/>
      <c r="Q138" s="3"/>
      <c r="R138" s="4" t="s">
        <v>35</v>
      </c>
      <c r="S138" s="3"/>
      <c r="T138" s="4" t="str">
        <f>""</f>
        <v/>
      </c>
      <c r="U138" s="4" t="str">
        <f>"NCIA10397830"</f>
        <v>NCIA10397830</v>
      </c>
      <c r="V138" s="4" t="str">
        <f>"00011"</f>
        <v>00011</v>
      </c>
      <c r="W138" s="4" t="s">
        <v>36</v>
      </c>
      <c r="X138" s="4" t="str">
        <f>"F0057"</f>
        <v>F0057</v>
      </c>
      <c r="Y138" s="4" t="str">
        <f>"63308137AA"</f>
        <v>63308137AA</v>
      </c>
      <c r="Z138" s="4" t="str">
        <f>""</f>
        <v/>
      </c>
      <c r="AA138" s="4" t="str">
        <f>""</f>
        <v/>
      </c>
      <c r="AB138" s="5">
        <v>43465</v>
      </c>
      <c r="AC138" s="4">
        <v>0</v>
      </c>
    </row>
    <row r="139" spans="1:29" ht="14.45" customHeight="1" x14ac:dyDescent="0.25">
      <c r="A139" s="4" t="s">
        <v>25</v>
      </c>
      <c r="B139" s="4" t="s">
        <v>26</v>
      </c>
      <c r="C139" s="4" t="s">
        <v>27</v>
      </c>
      <c r="D139" s="4" t="s">
        <v>28</v>
      </c>
      <c r="E139" s="4" t="s">
        <v>26</v>
      </c>
      <c r="F139" s="4" t="s">
        <v>318</v>
      </c>
      <c r="G139" s="4" t="s">
        <v>318</v>
      </c>
      <c r="H139" s="4" t="s">
        <v>319</v>
      </c>
      <c r="I139" s="4" t="s">
        <v>339</v>
      </c>
      <c r="J139" s="4" t="str">
        <f>"7021SB0039067"</f>
        <v>7021SB0039067</v>
      </c>
      <c r="K139" s="4" t="s">
        <v>340</v>
      </c>
      <c r="L139" s="4" t="str">
        <f>""</f>
        <v/>
      </c>
      <c r="M139" s="4" t="str">
        <f>""</f>
        <v/>
      </c>
      <c r="N139" s="4" t="s">
        <v>34</v>
      </c>
      <c r="O139" s="3"/>
      <c r="P139" s="3"/>
      <c r="Q139" s="3"/>
      <c r="R139" s="4" t="s">
        <v>35</v>
      </c>
      <c r="S139" s="3"/>
      <c r="T139" s="4" t="str">
        <f>""</f>
        <v/>
      </c>
      <c r="U139" s="4" t="str">
        <f>"NCIA10397831"</f>
        <v>NCIA10397831</v>
      </c>
      <c r="V139" s="4" t="str">
        <f>"00012"</f>
        <v>00012</v>
      </c>
      <c r="W139" s="4" t="s">
        <v>36</v>
      </c>
      <c r="X139" s="4" t="str">
        <f>"F0057"</f>
        <v>F0057</v>
      </c>
      <c r="Y139" s="4" t="str">
        <f>"63308137AA"</f>
        <v>63308137AA</v>
      </c>
      <c r="Z139" s="4" t="str">
        <f>""</f>
        <v/>
      </c>
      <c r="AA139" s="4" t="str">
        <f>""</f>
        <v/>
      </c>
      <c r="AB139" s="5">
        <v>43465</v>
      </c>
      <c r="AC139" s="4">
        <v>0</v>
      </c>
    </row>
    <row r="140" spans="1:29" ht="14.45" customHeight="1" x14ac:dyDescent="0.25">
      <c r="A140" s="4" t="s">
        <v>25</v>
      </c>
      <c r="B140" s="4" t="s">
        <v>26</v>
      </c>
      <c r="C140" s="4" t="s">
        <v>27</v>
      </c>
      <c r="D140" s="4" t="s">
        <v>28</v>
      </c>
      <c r="E140" s="4" t="s">
        <v>26</v>
      </c>
      <c r="F140" s="4" t="s">
        <v>318</v>
      </c>
      <c r="G140" s="4" t="s">
        <v>318</v>
      </c>
      <c r="H140" s="4" t="s">
        <v>319</v>
      </c>
      <c r="I140" s="4" t="s">
        <v>119</v>
      </c>
      <c r="J140" s="4" t="str">
        <f>"7021SB0040903"</f>
        <v>7021SB0040903</v>
      </c>
      <c r="K140" s="4" t="s">
        <v>120</v>
      </c>
      <c r="L140" s="4" t="str">
        <f>""</f>
        <v/>
      </c>
      <c r="M140" s="4" t="str">
        <f>""</f>
        <v/>
      </c>
      <c r="N140" s="4" t="s">
        <v>34</v>
      </c>
      <c r="O140" s="3"/>
      <c r="P140" s="3"/>
      <c r="Q140" s="3"/>
      <c r="R140" s="4" t="s">
        <v>35</v>
      </c>
      <c r="S140" s="3"/>
      <c r="T140" s="4" t="str">
        <f>"7021145879492"</f>
        <v>7021145879492</v>
      </c>
      <c r="U140" s="4" t="str">
        <f>"NCIA10398241"</f>
        <v>NCIA10398241</v>
      </c>
      <c r="V140" s="4" t="str">
        <f>"181019-0083989-00019"</f>
        <v>181019-0083989-00019</v>
      </c>
      <c r="W140" s="4" t="s">
        <v>36</v>
      </c>
      <c r="X140" s="4" t="str">
        <f>"F5511"</f>
        <v>F5511</v>
      </c>
      <c r="Y140" s="4" t="str">
        <f>"95005442"</f>
        <v>95005442</v>
      </c>
      <c r="Z140" s="4" t="str">
        <f>""</f>
        <v/>
      </c>
      <c r="AA140" s="4" t="str">
        <f>""</f>
        <v/>
      </c>
      <c r="AB140" s="5">
        <v>43465</v>
      </c>
      <c r="AC140" s="4">
        <v>0</v>
      </c>
    </row>
    <row r="141" spans="1:29" ht="14.45" customHeight="1" x14ac:dyDescent="0.25">
      <c r="A141" s="4" t="s">
        <v>25</v>
      </c>
      <c r="B141" s="4" t="s">
        <v>26</v>
      </c>
      <c r="C141" s="4" t="s">
        <v>27</v>
      </c>
      <c r="D141" s="4" t="s">
        <v>28</v>
      </c>
      <c r="E141" s="4" t="s">
        <v>26</v>
      </c>
      <c r="F141" s="4" t="s">
        <v>318</v>
      </c>
      <c r="G141" s="4" t="s">
        <v>318</v>
      </c>
      <c r="H141" s="4" t="s">
        <v>319</v>
      </c>
      <c r="I141" s="4" t="s">
        <v>119</v>
      </c>
      <c r="J141" s="4" t="str">
        <f>"7021SB0040904"</f>
        <v>7021SB0040904</v>
      </c>
      <c r="K141" s="4" t="s">
        <v>121</v>
      </c>
      <c r="L141" s="4" t="str">
        <f>""</f>
        <v/>
      </c>
      <c r="M141" s="4" t="str">
        <f>""</f>
        <v/>
      </c>
      <c r="N141" s="4" t="s">
        <v>34</v>
      </c>
      <c r="O141" s="3"/>
      <c r="P141" s="3"/>
      <c r="Q141" s="3"/>
      <c r="R141" s="4" t="s">
        <v>35</v>
      </c>
      <c r="S141" s="3"/>
      <c r="T141" s="4" t="str">
        <f>"7010145879120"</f>
        <v>7010145879120</v>
      </c>
      <c r="U141" s="4" t="str">
        <f>"NCIA10398242"</f>
        <v>NCIA10398242</v>
      </c>
      <c r="V141" s="4" t="str">
        <f>"180817-0083991-00019"</f>
        <v>180817-0083991-00019</v>
      </c>
      <c r="W141" s="4" t="s">
        <v>36</v>
      </c>
      <c r="X141" s="4" t="str">
        <f>"F5511"</f>
        <v>F5511</v>
      </c>
      <c r="Y141" s="4" t="str">
        <f>"95005449"</f>
        <v>95005449</v>
      </c>
      <c r="Z141" s="4" t="str">
        <f>""</f>
        <v/>
      </c>
      <c r="AA141" s="4" t="str">
        <f>""</f>
        <v/>
      </c>
      <c r="AB141" s="5">
        <v>43465</v>
      </c>
      <c r="AC141" s="4">
        <v>0</v>
      </c>
    </row>
    <row r="142" spans="1:29" ht="14.45" customHeight="1" x14ac:dyDescent="0.25">
      <c r="A142" s="4" t="s">
        <v>25</v>
      </c>
      <c r="B142" s="4" t="s">
        <v>26</v>
      </c>
      <c r="C142" s="4" t="s">
        <v>27</v>
      </c>
      <c r="D142" s="4" t="s">
        <v>28</v>
      </c>
      <c r="E142" s="4" t="s">
        <v>26</v>
      </c>
      <c r="F142" s="4" t="s">
        <v>318</v>
      </c>
      <c r="G142" s="4" t="s">
        <v>318</v>
      </c>
      <c r="H142" s="4" t="s">
        <v>319</v>
      </c>
      <c r="I142" s="4" t="s">
        <v>119</v>
      </c>
      <c r="J142" s="4" t="str">
        <f>"7021SB0042635"</f>
        <v>7021SB0042635</v>
      </c>
      <c r="K142" s="4" t="s">
        <v>124</v>
      </c>
      <c r="L142" s="4" t="str">
        <f>""</f>
        <v/>
      </c>
      <c r="M142" s="4" t="str">
        <f>""</f>
        <v/>
      </c>
      <c r="N142" s="4" t="s">
        <v>34</v>
      </c>
      <c r="O142" s="3"/>
      <c r="P142" s="3"/>
      <c r="Q142" s="3"/>
      <c r="R142" s="4" t="s">
        <v>35</v>
      </c>
      <c r="S142" s="3"/>
      <c r="T142" s="4" t="str">
        <f>"7021145879493"</f>
        <v>7021145879493</v>
      </c>
      <c r="U142" s="4" t="str">
        <f>"NCIA10398248"</f>
        <v>NCIA10398248</v>
      </c>
      <c r="V142" s="4" t="str">
        <f>"181108-0083990-00020"</f>
        <v>181108-0083990-00020</v>
      </c>
      <c r="W142" s="4" t="s">
        <v>36</v>
      </c>
      <c r="X142" s="4" t="str">
        <f>"F5511"</f>
        <v>F5511</v>
      </c>
      <c r="Y142" s="4" t="str">
        <f>"95005443"</f>
        <v>95005443</v>
      </c>
      <c r="Z142" s="4" t="str">
        <f>""</f>
        <v/>
      </c>
      <c r="AA142" s="4" t="str">
        <f>""</f>
        <v/>
      </c>
      <c r="AB142" s="5">
        <v>43465</v>
      </c>
      <c r="AC142" s="4">
        <v>0</v>
      </c>
    </row>
    <row r="143" spans="1:29" ht="14.45" customHeight="1" x14ac:dyDescent="0.25">
      <c r="A143" s="4" t="s">
        <v>25</v>
      </c>
      <c r="B143" s="4" t="s">
        <v>26</v>
      </c>
      <c r="C143" s="4" t="s">
        <v>27</v>
      </c>
      <c r="D143" s="4" t="s">
        <v>28</v>
      </c>
      <c r="E143" s="4" t="s">
        <v>26</v>
      </c>
      <c r="F143" s="4" t="s">
        <v>318</v>
      </c>
      <c r="G143" s="4" t="s">
        <v>318</v>
      </c>
      <c r="H143" s="4" t="s">
        <v>319</v>
      </c>
      <c r="I143" s="4" t="s">
        <v>37</v>
      </c>
      <c r="J143" s="4" t="str">
        <f>"7025SB0040905"</f>
        <v>7025SB0040905</v>
      </c>
      <c r="K143" s="4" t="s">
        <v>125</v>
      </c>
      <c r="L143" s="4" t="str">
        <f>""</f>
        <v/>
      </c>
      <c r="M143" s="4" t="str">
        <f>""</f>
        <v/>
      </c>
      <c r="N143" s="4" t="s">
        <v>34</v>
      </c>
      <c r="O143" s="3"/>
      <c r="P143" s="3"/>
      <c r="Q143" s="3"/>
      <c r="R143" s="4" t="s">
        <v>35</v>
      </c>
      <c r="S143" s="3"/>
      <c r="T143" s="4" t="str">
        <f>"7025145885850"</f>
        <v>7025145885850</v>
      </c>
      <c r="U143" s="4" t="str">
        <f>"NCIA10398243"</f>
        <v>NCIA10398243</v>
      </c>
      <c r="V143" s="4" t="str">
        <f>"170418A-00050"</f>
        <v>170418A-00050</v>
      </c>
      <c r="W143" s="4" t="s">
        <v>36</v>
      </c>
      <c r="X143" s="4" t="str">
        <f>"F5511"</f>
        <v>F5511</v>
      </c>
      <c r="Y143" s="4" t="str">
        <f>"70501088"</f>
        <v>70501088</v>
      </c>
      <c r="Z143" s="4" t="str">
        <f>""</f>
        <v/>
      </c>
      <c r="AA143" s="4" t="str">
        <f>""</f>
        <v/>
      </c>
      <c r="AB143" s="5">
        <v>43465</v>
      </c>
      <c r="AC143" s="4">
        <v>0</v>
      </c>
    </row>
    <row r="144" spans="1:29" ht="14.45" customHeight="1" x14ac:dyDescent="0.25">
      <c r="A144" s="4" t="s">
        <v>25</v>
      </c>
      <c r="B144" s="4" t="s">
        <v>26</v>
      </c>
      <c r="C144" s="4" t="s">
        <v>27</v>
      </c>
      <c r="D144" s="4" t="s">
        <v>28</v>
      </c>
      <c r="E144" s="4" t="s">
        <v>26</v>
      </c>
      <c r="F144" s="4" t="s">
        <v>318</v>
      </c>
      <c r="G144" s="4" t="s">
        <v>318</v>
      </c>
      <c r="H144" s="4" t="s">
        <v>319</v>
      </c>
      <c r="I144" s="4" t="s">
        <v>126</v>
      </c>
      <c r="J144" s="4" t="str">
        <f>"7035SB0000543"</f>
        <v>7035SB0000543</v>
      </c>
      <c r="K144" s="4" t="s">
        <v>127</v>
      </c>
      <c r="L144" s="4" t="str">
        <f>""</f>
        <v/>
      </c>
      <c r="M144" s="4" t="str">
        <f>""</f>
        <v/>
      </c>
      <c r="N144" s="4" t="s">
        <v>34</v>
      </c>
      <c r="O144" s="3"/>
      <c r="P144" s="3"/>
      <c r="Q144" s="3"/>
      <c r="R144" s="4" t="s">
        <v>35</v>
      </c>
      <c r="S144" s="3"/>
      <c r="T144" s="4" t="str">
        <f>"5930015688478"</f>
        <v>5930015688478</v>
      </c>
      <c r="U144" s="4" t="str">
        <f>"NCIA10398244"</f>
        <v>NCIA10398244</v>
      </c>
      <c r="V144" s="4" t="str">
        <f>"3BN1757M80579"</f>
        <v>3BN1757M80579</v>
      </c>
      <c r="W144" s="4" t="s">
        <v>36</v>
      </c>
      <c r="X144" s="4" t="str">
        <f>"1S0S8"</f>
        <v>1S0S8</v>
      </c>
      <c r="Y144" s="4" t="str">
        <f>"FS108P"</f>
        <v>FS108P</v>
      </c>
      <c r="Z144" s="4" t="str">
        <f>""</f>
        <v/>
      </c>
      <c r="AA144" s="4" t="str">
        <f>""</f>
        <v/>
      </c>
      <c r="AB144" s="5">
        <v>43465</v>
      </c>
      <c r="AC144" s="4">
        <v>0</v>
      </c>
    </row>
    <row r="145" spans="1:29" ht="14.45" customHeight="1" x14ac:dyDescent="0.25">
      <c r="A145" s="4" t="s">
        <v>25</v>
      </c>
      <c r="B145" s="4" t="s">
        <v>26</v>
      </c>
      <c r="C145" s="4" t="s">
        <v>27</v>
      </c>
      <c r="D145" s="4" t="s">
        <v>28</v>
      </c>
      <c r="E145" s="4" t="s">
        <v>26</v>
      </c>
      <c r="F145" s="4" t="s">
        <v>318</v>
      </c>
      <c r="G145" s="4" t="s">
        <v>318</v>
      </c>
      <c r="H145" s="4" t="s">
        <v>319</v>
      </c>
      <c r="I145" s="3"/>
      <c r="J145" s="4" t="str">
        <f>"7035SB0017000"</f>
        <v>7035SB0017000</v>
      </c>
      <c r="K145" s="4" t="s">
        <v>341</v>
      </c>
      <c r="L145" s="4" t="str">
        <f>""</f>
        <v/>
      </c>
      <c r="M145" s="4" t="str">
        <f>""</f>
        <v/>
      </c>
      <c r="N145" s="4" t="s">
        <v>34</v>
      </c>
      <c r="O145" s="3"/>
      <c r="P145" s="3"/>
      <c r="Q145" s="3"/>
      <c r="R145" s="4" t="s">
        <v>35</v>
      </c>
      <c r="S145" s="3"/>
      <c r="T145" s="4" t="str">
        <f>"DXC10A-3/UTP/AC"</f>
        <v>DXC10A-3/UTP/AC</v>
      </c>
      <c r="U145" s="4" t="str">
        <f>"01-117076"</f>
        <v>01-117076</v>
      </c>
      <c r="V145" s="4" t="str">
        <f>"920011950"</f>
        <v>920011950</v>
      </c>
      <c r="W145" s="4" t="s">
        <v>36</v>
      </c>
      <c r="X145" s="4" t="str">
        <f>"02MQ7"</f>
        <v>02MQ7</v>
      </c>
      <c r="Y145" s="4" t="str">
        <f>"DXC-10A-3-UTP/AC"</f>
        <v>DXC-10A-3-UTP/AC</v>
      </c>
      <c r="Z145" s="4" t="str">
        <f>""</f>
        <v/>
      </c>
      <c r="AA145" s="4" t="str">
        <f>""</f>
        <v/>
      </c>
      <c r="AB145" s="5">
        <v>43465</v>
      </c>
      <c r="AC145" s="4">
        <v>0</v>
      </c>
    </row>
    <row r="146" spans="1:29" ht="14.45" customHeight="1" x14ac:dyDescent="0.25">
      <c r="A146" s="4" t="s">
        <v>25</v>
      </c>
      <c r="B146" s="4" t="s">
        <v>26</v>
      </c>
      <c r="C146" s="4" t="s">
        <v>27</v>
      </c>
      <c r="D146" s="4" t="s">
        <v>28</v>
      </c>
      <c r="E146" s="4" t="s">
        <v>26</v>
      </c>
      <c r="F146" s="4" t="s">
        <v>318</v>
      </c>
      <c r="G146" s="4" t="s">
        <v>318</v>
      </c>
      <c r="H146" s="4" t="s">
        <v>319</v>
      </c>
      <c r="I146" s="3"/>
      <c r="J146" s="4" t="str">
        <f>"7035SB0017000"</f>
        <v>7035SB0017000</v>
      </c>
      <c r="K146" s="4" t="s">
        <v>341</v>
      </c>
      <c r="L146" s="4" t="str">
        <f>""</f>
        <v/>
      </c>
      <c r="M146" s="4" t="str">
        <f>""</f>
        <v/>
      </c>
      <c r="N146" s="4" t="s">
        <v>34</v>
      </c>
      <c r="O146" s="3"/>
      <c r="P146" s="3"/>
      <c r="Q146" s="3"/>
      <c r="R146" s="4" t="s">
        <v>35</v>
      </c>
      <c r="S146" s="3"/>
      <c r="T146" s="4" t="str">
        <f>"DXC10A-3/UTP/AC"</f>
        <v>DXC10A-3/UTP/AC</v>
      </c>
      <c r="U146" s="4" t="str">
        <f>"01-117077"</f>
        <v>01-117077</v>
      </c>
      <c r="V146" s="4" t="str">
        <f>"920011949"</f>
        <v>920011949</v>
      </c>
      <c r="W146" s="4" t="s">
        <v>36</v>
      </c>
      <c r="X146" s="4" t="str">
        <f>"02MQ7"</f>
        <v>02MQ7</v>
      </c>
      <c r="Y146" s="4" t="str">
        <f>"DXC-10A-3-UTP/AC"</f>
        <v>DXC-10A-3-UTP/AC</v>
      </c>
      <c r="Z146" s="4" t="str">
        <f>""</f>
        <v/>
      </c>
      <c r="AA146" s="4" t="str">
        <f>""</f>
        <v/>
      </c>
      <c r="AB146" s="5">
        <v>43465</v>
      </c>
      <c r="AC146" s="4">
        <v>0</v>
      </c>
    </row>
    <row r="147" spans="1:29" ht="14.45" customHeight="1" x14ac:dyDescent="0.25">
      <c r="A147" s="4" t="s">
        <v>25</v>
      </c>
      <c r="B147" s="4" t="s">
        <v>26</v>
      </c>
      <c r="C147" s="4" t="s">
        <v>27</v>
      </c>
      <c r="D147" s="4" t="s">
        <v>28</v>
      </c>
      <c r="E147" s="4" t="s">
        <v>26</v>
      </c>
      <c r="F147" s="4" t="s">
        <v>318</v>
      </c>
      <c r="G147" s="4" t="s">
        <v>318</v>
      </c>
      <c r="H147" s="4" t="s">
        <v>319</v>
      </c>
      <c r="I147" s="4" t="s">
        <v>245</v>
      </c>
      <c r="J147" s="4" t="str">
        <f>"7035SB0018239"</f>
        <v>7035SB0018239</v>
      </c>
      <c r="K147" s="4" t="s">
        <v>246</v>
      </c>
      <c r="L147" s="4" t="str">
        <f>""</f>
        <v/>
      </c>
      <c r="M147" s="4" t="str">
        <f>""</f>
        <v/>
      </c>
      <c r="N147" s="4" t="s">
        <v>34</v>
      </c>
      <c r="O147" s="3"/>
      <c r="P147" s="3"/>
      <c r="Q147" s="3"/>
      <c r="R147" s="4" t="s">
        <v>35</v>
      </c>
      <c r="S147" s="3"/>
      <c r="T147" s="4" t="str">
        <f>"7025015853891"</f>
        <v>7025015853891</v>
      </c>
      <c r="U147" s="4" t="str">
        <f>"01-116971"</f>
        <v>01-116971</v>
      </c>
      <c r="V147" s="4" t="str">
        <f>"FR6GFH1"</f>
        <v>FR6GFH1</v>
      </c>
      <c r="W147" s="4" t="s">
        <v>36</v>
      </c>
      <c r="X147" s="4" t="str">
        <f>"1GE11"</f>
        <v>1GE11</v>
      </c>
      <c r="Y147" s="4" t="str">
        <f>"0P486K"</f>
        <v>0P486K</v>
      </c>
      <c r="Z147" s="4" t="str">
        <f>""</f>
        <v/>
      </c>
      <c r="AA147" s="4" t="str">
        <f>""</f>
        <v/>
      </c>
      <c r="AB147" s="5">
        <v>43465</v>
      </c>
      <c r="AC147" s="4">
        <v>0</v>
      </c>
    </row>
    <row r="148" spans="1:29" ht="14.45" customHeight="1" x14ac:dyDescent="0.25">
      <c r="A148" s="4" t="s">
        <v>25</v>
      </c>
      <c r="B148" s="4" t="s">
        <v>26</v>
      </c>
      <c r="C148" s="4" t="s">
        <v>27</v>
      </c>
      <c r="D148" s="4" t="s">
        <v>28</v>
      </c>
      <c r="E148" s="4" t="s">
        <v>26</v>
      </c>
      <c r="F148" s="4" t="s">
        <v>318</v>
      </c>
      <c r="G148" s="4" t="s">
        <v>318</v>
      </c>
      <c r="H148" s="4" t="s">
        <v>319</v>
      </c>
      <c r="I148" s="4" t="s">
        <v>131</v>
      </c>
      <c r="J148" s="4" t="str">
        <f>"7035SB0021026"</f>
        <v>7035SB0021026</v>
      </c>
      <c r="K148" s="4" t="s">
        <v>132</v>
      </c>
      <c r="L148" s="4" t="str">
        <f>""</f>
        <v/>
      </c>
      <c r="M148" s="4" t="str">
        <f>""</f>
        <v/>
      </c>
      <c r="N148" s="4" t="s">
        <v>34</v>
      </c>
      <c r="O148" s="3"/>
      <c r="P148" s="3"/>
      <c r="Q148" s="3"/>
      <c r="R148" s="4" t="s">
        <v>35</v>
      </c>
      <c r="S148" s="3"/>
      <c r="T148" s="4" t="str">
        <f>"7035-UE-02376"</f>
        <v>7035-UE-02376</v>
      </c>
      <c r="U148" s="4" t="str">
        <f>"NCIA10400003"</f>
        <v>NCIA10400003</v>
      </c>
      <c r="V148" s="4" t="str">
        <f>"180820-0083987-00049"</f>
        <v>180820-0083987-00049</v>
      </c>
      <c r="W148" s="4" t="s">
        <v>36</v>
      </c>
      <c r="X148" s="4" t="str">
        <f>"0GX96"</f>
        <v>0GX96</v>
      </c>
      <c r="Y148" s="4" t="str">
        <f>"C2901-AX/K9-RF"</f>
        <v>C2901-AX/K9-RF</v>
      </c>
      <c r="Z148" s="4" t="str">
        <f>""</f>
        <v/>
      </c>
      <c r="AA148" s="4" t="str">
        <f>""</f>
        <v/>
      </c>
      <c r="AB148" s="5">
        <v>43465</v>
      </c>
      <c r="AC148" s="4">
        <v>0</v>
      </c>
    </row>
    <row r="149" spans="1:29" ht="14.45" customHeight="1" x14ac:dyDescent="0.25">
      <c r="A149" s="4" t="s">
        <v>25</v>
      </c>
      <c r="B149" s="4" t="s">
        <v>26</v>
      </c>
      <c r="C149" s="4" t="s">
        <v>27</v>
      </c>
      <c r="D149" s="4" t="s">
        <v>28</v>
      </c>
      <c r="E149" s="4" t="s">
        <v>26</v>
      </c>
      <c r="F149" s="4" t="s">
        <v>318</v>
      </c>
      <c r="G149" s="4" t="s">
        <v>318</v>
      </c>
      <c r="H149" s="4" t="s">
        <v>319</v>
      </c>
      <c r="I149" s="4" t="s">
        <v>133</v>
      </c>
      <c r="J149" s="4" t="str">
        <f>"7035SB0040902"</f>
        <v>7035SB0040902</v>
      </c>
      <c r="K149" s="4" t="s">
        <v>134</v>
      </c>
      <c r="L149" s="4" t="str">
        <f>""</f>
        <v/>
      </c>
      <c r="M149" s="4" t="str">
        <f>""</f>
        <v/>
      </c>
      <c r="N149" s="4" t="s">
        <v>34</v>
      </c>
      <c r="O149" s="3"/>
      <c r="P149" s="3"/>
      <c r="Q149" s="3"/>
      <c r="R149" s="4" t="s">
        <v>35</v>
      </c>
      <c r="S149" s="3"/>
      <c r="T149" s="4" t="str">
        <f>"5895145879119"</f>
        <v>5895145879119</v>
      </c>
      <c r="U149" s="4" t="str">
        <f>"NCIA10398240"</f>
        <v>NCIA10398240</v>
      </c>
      <c r="V149" s="4" t="str">
        <f>"180727-0083988-00020"</f>
        <v>180727-0083988-00020</v>
      </c>
      <c r="W149" s="4" t="s">
        <v>36</v>
      </c>
      <c r="X149" s="4" t="str">
        <f>"F5511"</f>
        <v>F5511</v>
      </c>
      <c r="Y149" s="4" t="str">
        <f>"95005441"</f>
        <v>95005441</v>
      </c>
      <c r="Z149" s="4" t="str">
        <f>""</f>
        <v/>
      </c>
      <c r="AA149" s="4" t="str">
        <f>""</f>
        <v/>
      </c>
      <c r="AB149" s="5">
        <v>43465</v>
      </c>
      <c r="AC149" s="4">
        <v>0</v>
      </c>
    </row>
    <row r="150" spans="1:29" ht="14.45" customHeight="1" x14ac:dyDescent="0.25">
      <c r="A150" s="4" t="s">
        <v>25</v>
      </c>
      <c r="B150" s="4" t="s">
        <v>26</v>
      </c>
      <c r="C150" s="4" t="s">
        <v>27</v>
      </c>
      <c r="D150" s="4" t="s">
        <v>28</v>
      </c>
      <c r="E150" s="4" t="s">
        <v>26</v>
      </c>
      <c r="F150" s="4" t="s">
        <v>318</v>
      </c>
      <c r="G150" s="4" t="s">
        <v>318</v>
      </c>
      <c r="H150" s="4" t="s">
        <v>319</v>
      </c>
      <c r="I150" s="4" t="s">
        <v>133</v>
      </c>
      <c r="J150" s="4" t="str">
        <f>"7035SB0042112"</f>
        <v>7035SB0042112</v>
      </c>
      <c r="K150" s="4" t="s">
        <v>342</v>
      </c>
      <c r="L150" s="4" t="str">
        <f>""</f>
        <v/>
      </c>
      <c r="M150" s="4" t="str">
        <f>""</f>
        <v/>
      </c>
      <c r="N150" s="4" t="s">
        <v>34</v>
      </c>
      <c r="O150" s="3"/>
      <c r="P150" s="3"/>
      <c r="Q150" s="3"/>
      <c r="R150" s="4" t="s">
        <v>35</v>
      </c>
      <c r="S150" s="3"/>
      <c r="T150" s="4" t="str">
        <f>""</f>
        <v/>
      </c>
      <c r="U150" s="4" t="str">
        <f>"NCIA12008731"</f>
        <v>NCIA12008731</v>
      </c>
      <c r="V150" s="4" t="str">
        <f>"FXS2221Q3JW"</f>
        <v>FXS2221Q3JW</v>
      </c>
      <c r="W150" s="4" t="s">
        <v>36</v>
      </c>
      <c r="X150" s="4" t="str">
        <f>"02MQ7"</f>
        <v>02MQ7</v>
      </c>
      <c r="Y150" s="4" t="str">
        <f>"ASR-1001-X"</f>
        <v>ASR-1001-X</v>
      </c>
      <c r="Z150" s="4" t="str">
        <f>""</f>
        <v/>
      </c>
      <c r="AA150" s="4" t="str">
        <f>""</f>
        <v/>
      </c>
      <c r="AB150" s="5">
        <v>43630</v>
      </c>
      <c r="AC150" s="4">
        <v>0</v>
      </c>
    </row>
    <row r="151" spans="1:29" ht="14.45" customHeight="1" x14ac:dyDescent="0.25">
      <c r="A151" s="4" t="s">
        <v>25</v>
      </c>
      <c r="B151" s="4" t="s">
        <v>26</v>
      </c>
      <c r="C151" s="4" t="s">
        <v>27</v>
      </c>
      <c r="D151" s="4" t="s">
        <v>28</v>
      </c>
      <c r="E151" s="4" t="s">
        <v>26</v>
      </c>
      <c r="F151" s="4" t="s">
        <v>318</v>
      </c>
      <c r="G151" s="4" t="s">
        <v>318</v>
      </c>
      <c r="H151" s="4" t="s">
        <v>319</v>
      </c>
      <c r="I151" s="4" t="s">
        <v>133</v>
      </c>
      <c r="J151" s="4" t="str">
        <f>"7035SB0042112"</f>
        <v>7035SB0042112</v>
      </c>
      <c r="K151" s="4" t="s">
        <v>342</v>
      </c>
      <c r="L151" s="4" t="str">
        <f>""</f>
        <v/>
      </c>
      <c r="M151" s="4" t="str">
        <f>""</f>
        <v/>
      </c>
      <c r="N151" s="4" t="s">
        <v>34</v>
      </c>
      <c r="O151" s="3"/>
      <c r="P151" s="3"/>
      <c r="Q151" s="3"/>
      <c r="R151" s="4" t="s">
        <v>35</v>
      </c>
      <c r="S151" s="3"/>
      <c r="T151" s="4" t="str">
        <f>""</f>
        <v/>
      </c>
      <c r="U151" s="4" t="str">
        <f>"NCIA12008732"</f>
        <v>NCIA12008732</v>
      </c>
      <c r="V151" s="4" t="str">
        <f>"FXS2221Q3HA"</f>
        <v>FXS2221Q3HA</v>
      </c>
      <c r="W151" s="4" t="s">
        <v>36</v>
      </c>
      <c r="X151" s="4" t="str">
        <f>"02MQ7"</f>
        <v>02MQ7</v>
      </c>
      <c r="Y151" s="4" t="str">
        <f>"ASR-1001-X"</f>
        <v>ASR-1001-X</v>
      </c>
      <c r="Z151" s="4" t="str">
        <f>""</f>
        <v/>
      </c>
      <c r="AA151" s="4" t="str">
        <f>""</f>
        <v/>
      </c>
      <c r="AB151" s="5">
        <v>43630</v>
      </c>
      <c r="AC151" s="4">
        <v>0</v>
      </c>
    </row>
    <row r="152" spans="1:29" ht="14.45" customHeight="1" x14ac:dyDescent="0.25">
      <c r="A152" s="4" t="s">
        <v>25</v>
      </c>
      <c r="B152" s="4" t="s">
        <v>26</v>
      </c>
      <c r="C152" s="4" t="s">
        <v>27</v>
      </c>
      <c r="D152" s="4" t="s">
        <v>28</v>
      </c>
      <c r="E152" s="4" t="s">
        <v>26</v>
      </c>
      <c r="F152" s="4" t="s">
        <v>318</v>
      </c>
      <c r="G152" s="4" t="s">
        <v>318</v>
      </c>
      <c r="H152" s="4" t="s">
        <v>319</v>
      </c>
      <c r="I152" s="4" t="s">
        <v>339</v>
      </c>
      <c r="J152" s="4" t="str">
        <f>"7050SB0030644"</f>
        <v>7050SB0030644</v>
      </c>
      <c r="K152" s="4" t="s">
        <v>343</v>
      </c>
      <c r="L152" s="4" t="str">
        <f>""</f>
        <v/>
      </c>
      <c r="M152" s="4" t="str">
        <f>""</f>
        <v/>
      </c>
      <c r="N152" s="4" t="s">
        <v>34</v>
      </c>
      <c r="O152" s="3"/>
      <c r="P152" s="3"/>
      <c r="Q152" s="3"/>
      <c r="R152" s="4" t="s">
        <v>35</v>
      </c>
      <c r="S152" s="3"/>
      <c r="T152" s="4" t="str">
        <f>""</f>
        <v/>
      </c>
      <c r="U152" s="4" t="str">
        <f>"NCIA10397840"</f>
        <v>NCIA10397840</v>
      </c>
      <c r="V152" s="4" t="str">
        <f>"6103"</f>
        <v>6103</v>
      </c>
      <c r="W152" s="4" t="s">
        <v>36</v>
      </c>
      <c r="X152" s="4" t="str">
        <f>"AD779"</f>
        <v>AD779</v>
      </c>
      <c r="Y152" s="4" t="str">
        <f>"MN SRB10970"</f>
        <v>MN SRB10970</v>
      </c>
      <c r="Z152" s="4" t="str">
        <f>""</f>
        <v/>
      </c>
      <c r="AA152" s="4" t="str">
        <f>""</f>
        <v/>
      </c>
      <c r="AB152" s="5">
        <v>43465</v>
      </c>
      <c r="AC152" s="4">
        <v>0</v>
      </c>
    </row>
    <row r="153" spans="1:29" ht="14.45" customHeight="1" x14ac:dyDescent="0.25">
      <c r="A153" s="4" t="s">
        <v>25</v>
      </c>
      <c r="B153" s="4" t="s">
        <v>26</v>
      </c>
      <c r="C153" s="4" t="s">
        <v>27</v>
      </c>
      <c r="D153" s="4" t="s">
        <v>28</v>
      </c>
      <c r="E153" s="4" t="s">
        <v>26</v>
      </c>
      <c r="F153" s="4" t="s">
        <v>318</v>
      </c>
      <c r="G153" s="4" t="s">
        <v>318</v>
      </c>
      <c r="H153" s="4" t="s">
        <v>319</v>
      </c>
      <c r="I153" s="4" t="s">
        <v>32</v>
      </c>
      <c r="J153" s="4" t="str">
        <f>"7230SB0004515"</f>
        <v>7230SB0004515</v>
      </c>
      <c r="K153" s="4" t="s">
        <v>315</v>
      </c>
      <c r="L153" s="4" t="str">
        <f>""</f>
        <v/>
      </c>
      <c r="M153" s="4" t="str">
        <f>""</f>
        <v/>
      </c>
      <c r="N153" s="4" t="s">
        <v>34</v>
      </c>
      <c r="O153" s="3"/>
      <c r="P153" s="3"/>
      <c r="Q153" s="3"/>
      <c r="R153" s="4" t="s">
        <v>35</v>
      </c>
      <c r="S153" s="3"/>
      <c r="T153" s="4" t="str">
        <f>"10537-02701"</f>
        <v>10537-02701</v>
      </c>
      <c r="U153" s="4" t="str">
        <f>"NCIAX11189522"</f>
        <v>NCIAX11189522</v>
      </c>
      <c r="V153" s="4" t="str">
        <f>""</f>
        <v/>
      </c>
      <c r="W153" s="4" t="s">
        <v>36</v>
      </c>
      <c r="X153" s="4" t="str">
        <f>"02MQ7"</f>
        <v>02MQ7</v>
      </c>
      <c r="Y153" s="4" t="str">
        <f>"10537-02701"</f>
        <v>10537-02701</v>
      </c>
      <c r="Z153" s="4" t="str">
        <f>""</f>
        <v/>
      </c>
      <c r="AA153" s="4" t="str">
        <f>""</f>
        <v/>
      </c>
      <c r="AB153" s="5">
        <v>43465</v>
      </c>
      <c r="AC153" s="6">
        <v>1.86353419244444E+16</v>
      </c>
    </row>
    <row r="154" spans="1:29" ht="14.45" customHeight="1" x14ac:dyDescent="0.25">
      <c r="A154" s="4" t="s">
        <v>25</v>
      </c>
      <c r="B154" s="4" t="s">
        <v>26</v>
      </c>
      <c r="C154" s="4" t="s">
        <v>27</v>
      </c>
      <c r="D154" s="4" t="s">
        <v>28</v>
      </c>
      <c r="E154" s="4" t="s">
        <v>26</v>
      </c>
      <c r="F154" s="4" t="s">
        <v>318</v>
      </c>
      <c r="G154" s="4" t="s">
        <v>318</v>
      </c>
      <c r="H154" s="4" t="s">
        <v>319</v>
      </c>
      <c r="I154" s="4" t="s">
        <v>32</v>
      </c>
      <c r="J154" s="4" t="str">
        <f>"7230SB0017340"</f>
        <v>7230SB0017340</v>
      </c>
      <c r="K154" s="4" t="s">
        <v>316</v>
      </c>
      <c r="L154" s="4" t="str">
        <f>""</f>
        <v/>
      </c>
      <c r="M154" s="4" t="str">
        <f>""</f>
        <v/>
      </c>
      <c r="N154" s="4" t="s">
        <v>34</v>
      </c>
      <c r="O154" s="3"/>
      <c r="P154" s="3"/>
      <c r="Q154" s="3"/>
      <c r="R154" s="4" t="s">
        <v>35</v>
      </c>
      <c r="S154" s="3"/>
      <c r="T154" s="4" t="str">
        <f>"10537-02704"</f>
        <v>10537-02704</v>
      </c>
      <c r="U154" s="4" t="str">
        <f>"NCIAX11189530"</f>
        <v>NCIAX11189530</v>
      </c>
      <c r="V154" s="4" t="str">
        <f>""</f>
        <v/>
      </c>
      <c r="W154" s="4" t="s">
        <v>36</v>
      </c>
      <c r="X154" s="4" t="str">
        <f>"02MQ7"</f>
        <v>02MQ7</v>
      </c>
      <c r="Y154" s="4" t="str">
        <f>"10537-02704"</f>
        <v>10537-02704</v>
      </c>
      <c r="Z154" s="4" t="str">
        <f>""</f>
        <v/>
      </c>
      <c r="AA154" s="4" t="str">
        <f>""</f>
        <v/>
      </c>
      <c r="AB154" s="5">
        <v>43465</v>
      </c>
      <c r="AC154" s="6">
        <v>1086762366075</v>
      </c>
    </row>
    <row r="155" spans="1:29" ht="14.45" customHeight="1" x14ac:dyDescent="0.25">
      <c r="A155" s="4" t="s">
        <v>25</v>
      </c>
      <c r="B155" s="4" t="s">
        <v>26</v>
      </c>
      <c r="C155" s="4" t="s">
        <v>27</v>
      </c>
      <c r="D155" s="4" t="s">
        <v>28</v>
      </c>
      <c r="E155" s="4" t="s">
        <v>26</v>
      </c>
      <c r="F155" s="4" t="s">
        <v>318</v>
      </c>
      <c r="G155" s="4" t="s">
        <v>318</v>
      </c>
      <c r="H155" s="4" t="s">
        <v>319</v>
      </c>
      <c r="I155" s="4" t="s">
        <v>158</v>
      </c>
      <c r="J155" s="4" t="str">
        <f>"8145SB0041727"</f>
        <v>8145SB0041727</v>
      </c>
      <c r="K155" s="4" t="s">
        <v>317</v>
      </c>
      <c r="L155" s="4" t="str">
        <f>""</f>
        <v/>
      </c>
      <c r="M155" s="4" t="str">
        <f>""</f>
        <v/>
      </c>
      <c r="N155" s="4" t="s">
        <v>34</v>
      </c>
      <c r="O155" s="3"/>
      <c r="P155" s="3"/>
      <c r="Q155" s="3"/>
      <c r="R155" s="4" t="s">
        <v>35</v>
      </c>
      <c r="S155" s="3"/>
      <c r="T155" s="4" t="str">
        <f>""</f>
        <v/>
      </c>
      <c r="U155" s="4" t="str">
        <f>"NCIA10312108"</f>
        <v>NCIA10312108</v>
      </c>
      <c r="V155" s="4" t="str">
        <f>""</f>
        <v/>
      </c>
      <c r="W155" s="4" t="s">
        <v>36</v>
      </c>
      <c r="X155" s="4" t="str">
        <f>"D2012"</f>
        <v>D2012</v>
      </c>
      <c r="Y155" s="4" t="str">
        <f>"40846"</f>
        <v>40846</v>
      </c>
      <c r="Z155" s="4" t="str">
        <f>""</f>
        <v/>
      </c>
      <c r="AA155" s="4" t="str">
        <f>""</f>
        <v/>
      </c>
      <c r="AB155" s="5">
        <v>43465</v>
      </c>
      <c r="AC155" s="4">
        <v>282</v>
      </c>
    </row>
    <row r="156" spans="1:29" ht="14.45" customHeight="1" x14ac:dyDescent="0.25">
      <c r="A156" s="4" t="s">
        <v>25</v>
      </c>
      <c r="B156" s="4" t="s">
        <v>26</v>
      </c>
      <c r="C156" s="4" t="s">
        <v>27</v>
      </c>
      <c r="D156" s="4" t="s">
        <v>28</v>
      </c>
      <c r="E156" s="4" t="s">
        <v>26</v>
      </c>
      <c r="F156" s="4" t="s">
        <v>318</v>
      </c>
      <c r="G156" s="4" t="s">
        <v>318</v>
      </c>
      <c r="H156" s="4" t="s">
        <v>319</v>
      </c>
      <c r="I156" s="4" t="s">
        <v>158</v>
      </c>
      <c r="J156" s="4" t="str">
        <f>"8145SB0041727"</f>
        <v>8145SB0041727</v>
      </c>
      <c r="K156" s="4" t="s">
        <v>317</v>
      </c>
      <c r="L156" s="4" t="str">
        <f>""</f>
        <v/>
      </c>
      <c r="M156" s="4" t="str">
        <f>""</f>
        <v/>
      </c>
      <c r="N156" s="4" t="s">
        <v>34</v>
      </c>
      <c r="O156" s="3"/>
      <c r="P156" s="3"/>
      <c r="Q156" s="3"/>
      <c r="R156" s="4" t="s">
        <v>35</v>
      </c>
      <c r="S156" s="3"/>
      <c r="T156" s="4" t="str">
        <f>""</f>
        <v/>
      </c>
      <c r="U156" s="4" t="str">
        <f>"NCIA10312109"</f>
        <v>NCIA10312109</v>
      </c>
      <c r="V156" s="4" t="str">
        <f>""</f>
        <v/>
      </c>
      <c r="W156" s="4" t="s">
        <v>36</v>
      </c>
      <c r="X156" s="4" t="str">
        <f>"D2012"</f>
        <v>D2012</v>
      </c>
      <c r="Y156" s="4" t="str">
        <f>"40846"</f>
        <v>40846</v>
      </c>
      <c r="Z156" s="4" t="str">
        <f>""</f>
        <v/>
      </c>
      <c r="AA156" s="4" t="str">
        <f>""</f>
        <v/>
      </c>
      <c r="AB156" s="5">
        <v>43465</v>
      </c>
      <c r="AC156" s="4">
        <v>282</v>
      </c>
    </row>
    <row r="157" spans="1:29" ht="12" customHeight="1" x14ac:dyDescent="0.25">
      <c r="A157" s="262"/>
      <c r="B157" s="264" t="s">
        <v>135</v>
      </c>
      <c r="C157" s="7" t="s">
        <v>136</v>
      </c>
      <c r="D157" s="8">
        <v>44287</v>
      </c>
    </row>
    <row r="158" spans="1:29" ht="12" customHeight="1" x14ac:dyDescent="0.25">
      <c r="A158" s="263"/>
      <c r="B158" s="265"/>
      <c r="C158" s="7" t="s">
        <v>137</v>
      </c>
      <c r="D158" s="9" t="s">
        <v>138</v>
      </c>
    </row>
  </sheetData>
  <mergeCells count="2">
    <mergeCell ref="A157:A158"/>
    <mergeCell ref="B157:B15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2"/>
  <sheetViews>
    <sheetView workbookViewId="0">
      <selection activeCell="C7" sqref="C7"/>
    </sheetView>
  </sheetViews>
  <sheetFormatPr defaultRowHeight="15" x14ac:dyDescent="0.25"/>
  <cols>
    <col min="1" max="1" width="23.28515625" bestFit="1" customWidth="1"/>
    <col min="2" max="2" width="36.5703125" bestFit="1" customWidth="1"/>
    <col min="3" max="3" width="19" bestFit="1" customWidth="1"/>
    <col min="4" max="4" width="9.7109375" bestFit="1" customWidth="1"/>
    <col min="5" max="5" width="11.7109375" bestFit="1" customWidth="1"/>
    <col min="6" max="6" width="16" bestFit="1" customWidth="1"/>
    <col min="7" max="7" width="15.85546875" bestFit="1" customWidth="1"/>
    <col min="8" max="8" width="15.28515625" bestFit="1" customWidth="1"/>
    <col min="9" max="9" width="10.42578125" bestFit="1" customWidth="1"/>
    <col min="10" max="10" width="4.5703125" customWidth="1"/>
    <col min="11" max="11" width="36.5703125" bestFit="1" customWidth="1"/>
    <col min="12" max="12" width="7.5703125" customWidth="1"/>
    <col min="13" max="13" width="13.42578125" bestFit="1" customWidth="1"/>
    <col min="14" max="14" width="4.5703125" customWidth="1"/>
    <col min="18" max="18" width="14.85546875" bestFit="1" customWidth="1"/>
    <col min="20" max="20" width="11.140625" bestFit="1" customWidth="1"/>
    <col min="21" max="21" width="12.140625" bestFit="1" customWidth="1"/>
    <col min="22" max="22" width="18.7109375" bestFit="1" customWidth="1"/>
    <col min="23" max="23" width="17.85546875" bestFit="1" customWidth="1"/>
    <col min="24" max="24" width="12" bestFit="1" customWidth="1"/>
    <col min="25" max="25" width="12.42578125" bestFit="1" customWidth="1"/>
    <col min="26" max="26" width="14" bestFit="1" customWidth="1"/>
    <col min="27" max="27" width="18.28515625" bestFit="1" customWidth="1"/>
    <col min="28" max="28" width="13.85546875" bestFit="1" customWidth="1"/>
    <col min="29" max="29" width="18" bestFit="1" customWidth="1"/>
  </cols>
  <sheetData>
    <row r="1" spans="1:29" ht="22.5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1"/>
      <c r="P1" s="1"/>
      <c r="Q1" s="1"/>
      <c r="R1" s="2" t="s">
        <v>14</v>
      </c>
      <c r="S1" s="1"/>
      <c r="T1" s="2" t="s">
        <v>15</v>
      </c>
      <c r="U1" s="2" t="s">
        <v>16</v>
      </c>
      <c r="V1" s="2" t="s">
        <v>17</v>
      </c>
      <c r="W1" s="2" t="s">
        <v>18</v>
      </c>
      <c r="X1" s="2" t="s">
        <v>19</v>
      </c>
      <c r="Y1" s="2" t="s">
        <v>20</v>
      </c>
      <c r="Z1" s="2" t="s">
        <v>21</v>
      </c>
      <c r="AA1" s="2" t="s">
        <v>22</v>
      </c>
      <c r="AB1" s="2" t="s">
        <v>23</v>
      </c>
      <c r="AC1" s="2" t="s">
        <v>24</v>
      </c>
    </row>
    <row r="2" spans="1:29" ht="45" x14ac:dyDescent="0.25">
      <c r="A2" s="4" t="s">
        <v>25</v>
      </c>
      <c r="B2" s="4" t="s">
        <v>139</v>
      </c>
      <c r="C2" s="4" t="s">
        <v>140</v>
      </c>
      <c r="D2" s="4" t="s">
        <v>28</v>
      </c>
      <c r="E2" s="4" t="s">
        <v>249</v>
      </c>
      <c r="F2" s="4" t="s">
        <v>344</v>
      </c>
      <c r="G2" s="4" t="s">
        <v>344</v>
      </c>
      <c r="H2" s="4" t="s">
        <v>345</v>
      </c>
      <c r="I2" s="4" t="s">
        <v>339</v>
      </c>
      <c r="J2" s="4" t="str">
        <f>"5810SB0058100"</f>
        <v>5810SB0058100</v>
      </c>
      <c r="K2" s="4" t="s">
        <v>346</v>
      </c>
      <c r="L2" s="4" t="str">
        <f>""</f>
        <v/>
      </c>
      <c r="M2" s="4" t="str">
        <f>""</f>
        <v/>
      </c>
      <c r="N2" s="4" t="s">
        <v>34</v>
      </c>
      <c r="O2" s="3"/>
      <c r="P2" s="3"/>
      <c r="Q2" s="3"/>
      <c r="R2" s="4" t="s">
        <v>35</v>
      </c>
      <c r="S2" s="3"/>
      <c r="T2" s="4" t="str">
        <f>""</f>
        <v/>
      </c>
      <c r="U2" s="4" t="str">
        <f>"NCIA12004632"</f>
        <v>NCIA12004632</v>
      </c>
      <c r="V2" s="4" t="str">
        <f>""</f>
        <v/>
      </c>
      <c r="W2" s="4" t="s">
        <v>36</v>
      </c>
      <c r="X2" s="4" t="str">
        <f>"02MQ7"</f>
        <v>02MQ7</v>
      </c>
      <c r="Y2" s="4" t="str">
        <f>"01-000738"</f>
        <v>01-000738</v>
      </c>
      <c r="Z2" s="4" t="str">
        <f>""</f>
        <v/>
      </c>
      <c r="AA2" s="4" t="str">
        <f>""</f>
        <v/>
      </c>
      <c r="AB2" s="5">
        <v>43592</v>
      </c>
      <c r="AC2" s="4">
        <v>0</v>
      </c>
    </row>
    <row r="3" spans="1:29" ht="45" x14ac:dyDescent="0.25">
      <c r="A3" s="4" t="s">
        <v>25</v>
      </c>
      <c r="B3" s="4" t="s">
        <v>139</v>
      </c>
      <c r="C3" s="4" t="s">
        <v>140</v>
      </c>
      <c r="D3" s="4" t="s">
        <v>28</v>
      </c>
      <c r="E3" s="4" t="s">
        <v>249</v>
      </c>
      <c r="F3" s="4" t="s">
        <v>344</v>
      </c>
      <c r="G3" s="4" t="s">
        <v>344</v>
      </c>
      <c r="H3" s="4" t="s">
        <v>345</v>
      </c>
      <c r="I3" s="4" t="s">
        <v>289</v>
      </c>
      <c r="J3" s="4" t="str">
        <f>"5895SB0005521"</f>
        <v>5895SB0005521</v>
      </c>
      <c r="K3" s="4" t="s">
        <v>347</v>
      </c>
      <c r="L3" s="4" t="str">
        <f>""</f>
        <v/>
      </c>
      <c r="M3" s="4" t="str">
        <f>""</f>
        <v/>
      </c>
      <c r="N3" s="4" t="s">
        <v>34</v>
      </c>
      <c r="O3" s="3"/>
      <c r="P3" s="3"/>
      <c r="Q3" s="3"/>
      <c r="R3" s="4" t="s">
        <v>35</v>
      </c>
      <c r="S3" s="3"/>
      <c r="T3" s="4" t="str">
        <f>"12719-300"</f>
        <v>12719-300</v>
      </c>
      <c r="U3" s="4" t="str">
        <f>"NCIA10291336"</f>
        <v>NCIA10291336</v>
      </c>
      <c r="V3" s="4" t="str">
        <f>""</f>
        <v/>
      </c>
      <c r="W3" s="4" t="s">
        <v>36</v>
      </c>
      <c r="X3" s="4" t="str">
        <f>"02MQ7"</f>
        <v>02MQ7</v>
      </c>
      <c r="Y3" s="4" t="str">
        <f>"12719-300"</f>
        <v>12719-300</v>
      </c>
      <c r="Z3" s="4" t="str">
        <f>""</f>
        <v/>
      </c>
      <c r="AA3" s="4" t="str">
        <f>""</f>
        <v/>
      </c>
      <c r="AB3" s="5">
        <v>43465</v>
      </c>
      <c r="AC3" s="4">
        <v>0</v>
      </c>
    </row>
    <row r="4" spans="1:29" ht="45" x14ac:dyDescent="0.25">
      <c r="A4" s="4" t="s">
        <v>25</v>
      </c>
      <c r="B4" s="4" t="s">
        <v>139</v>
      </c>
      <c r="C4" s="4" t="s">
        <v>140</v>
      </c>
      <c r="D4" s="4" t="s">
        <v>28</v>
      </c>
      <c r="E4" s="4" t="s">
        <v>249</v>
      </c>
      <c r="F4" s="4" t="s">
        <v>344</v>
      </c>
      <c r="G4" s="4" t="s">
        <v>344</v>
      </c>
      <c r="H4" s="4" t="s">
        <v>345</v>
      </c>
      <c r="I4" s="4" t="s">
        <v>289</v>
      </c>
      <c r="J4" s="4" t="str">
        <f>"5985SB0001899"</f>
        <v>5985SB0001899</v>
      </c>
      <c r="K4" s="4" t="s">
        <v>348</v>
      </c>
      <c r="L4" s="4" t="str">
        <f>""</f>
        <v/>
      </c>
      <c r="M4" s="4" t="str">
        <f>""</f>
        <v/>
      </c>
      <c r="N4" s="4" t="s">
        <v>34</v>
      </c>
      <c r="O4" s="3"/>
      <c r="P4" s="3"/>
      <c r="Q4" s="3"/>
      <c r="R4" s="4" t="s">
        <v>35</v>
      </c>
      <c r="S4" s="3"/>
      <c r="T4" s="4" t="str">
        <f>"047496-03 B"</f>
        <v>047496-03 B</v>
      </c>
      <c r="U4" s="4" t="str">
        <f>"01-128672"</f>
        <v>01-128672</v>
      </c>
      <c r="V4" s="4" t="str">
        <f>"DD149-114"</f>
        <v>DD149-114</v>
      </c>
      <c r="W4" s="4" t="s">
        <v>36</v>
      </c>
      <c r="X4" s="4" t="str">
        <f>"02MQ7"</f>
        <v>02MQ7</v>
      </c>
      <c r="Y4" s="4" t="str">
        <f>"047496-03 SL"</f>
        <v>047496-03 SL</v>
      </c>
      <c r="Z4" s="4" t="str">
        <f>""</f>
        <v/>
      </c>
      <c r="AA4" s="4" t="str">
        <f>""</f>
        <v/>
      </c>
      <c r="AB4" s="5">
        <v>43465</v>
      </c>
      <c r="AC4" s="4">
        <v>0</v>
      </c>
    </row>
    <row r="5" spans="1:29" ht="45" x14ac:dyDescent="0.25">
      <c r="A5" s="4" t="s">
        <v>25</v>
      </c>
      <c r="B5" s="4" t="s">
        <v>139</v>
      </c>
      <c r="C5" s="4" t="s">
        <v>140</v>
      </c>
      <c r="D5" s="4" t="s">
        <v>28</v>
      </c>
      <c r="E5" s="4" t="s">
        <v>249</v>
      </c>
      <c r="F5" s="4" t="s">
        <v>344</v>
      </c>
      <c r="G5" s="4" t="s">
        <v>344</v>
      </c>
      <c r="H5" s="4" t="s">
        <v>345</v>
      </c>
      <c r="I5" s="4" t="s">
        <v>289</v>
      </c>
      <c r="J5" s="4" t="str">
        <f>"5985SB0002497"</f>
        <v>5985SB0002497</v>
      </c>
      <c r="K5" s="4" t="s">
        <v>349</v>
      </c>
      <c r="L5" s="4" t="str">
        <f>""</f>
        <v/>
      </c>
      <c r="M5" s="4" t="str">
        <f>""</f>
        <v/>
      </c>
      <c r="N5" s="4" t="s">
        <v>34</v>
      </c>
      <c r="O5" s="3"/>
      <c r="P5" s="3"/>
      <c r="Q5" s="3"/>
      <c r="R5" s="4" t="s">
        <v>35</v>
      </c>
      <c r="S5" s="3"/>
      <c r="T5" s="4" t="str">
        <f>"047502-1"</f>
        <v>047502-1</v>
      </c>
      <c r="U5" s="4" t="str">
        <f>"01-128673"</f>
        <v>01-128673</v>
      </c>
      <c r="V5" s="4" t="str">
        <f>"11-152"</f>
        <v>11-152</v>
      </c>
      <c r="W5" s="4" t="s">
        <v>36</v>
      </c>
      <c r="X5" s="4" t="str">
        <f>"02MQ7"</f>
        <v>02MQ7</v>
      </c>
      <c r="Y5" s="4" t="str">
        <f>"047502-1"</f>
        <v>047502-1</v>
      </c>
      <c r="Z5" s="4" t="str">
        <f>""</f>
        <v/>
      </c>
      <c r="AA5" s="4" t="str">
        <f>""</f>
        <v/>
      </c>
      <c r="AB5" s="5">
        <v>43465</v>
      </c>
      <c r="AC5" s="4">
        <v>0</v>
      </c>
    </row>
    <row r="6" spans="1:29" ht="45" x14ac:dyDescent="0.25">
      <c r="A6" s="4" t="s">
        <v>25</v>
      </c>
      <c r="B6" s="4" t="s">
        <v>139</v>
      </c>
      <c r="C6" s="4" t="s">
        <v>140</v>
      </c>
      <c r="D6" s="4" t="s">
        <v>28</v>
      </c>
      <c r="E6" s="4" t="s">
        <v>249</v>
      </c>
      <c r="F6" s="4" t="s">
        <v>344</v>
      </c>
      <c r="G6" s="4" t="s">
        <v>344</v>
      </c>
      <c r="H6" s="4" t="s">
        <v>345</v>
      </c>
      <c r="I6" s="4" t="s">
        <v>289</v>
      </c>
      <c r="J6" s="4" t="str">
        <f>"5985SB0002498"</f>
        <v>5985SB0002498</v>
      </c>
      <c r="K6" s="4" t="s">
        <v>350</v>
      </c>
      <c r="L6" s="4" t="str">
        <f>""</f>
        <v/>
      </c>
      <c r="M6" s="4" t="str">
        <f>""</f>
        <v/>
      </c>
      <c r="N6" s="4" t="s">
        <v>34</v>
      </c>
      <c r="O6" s="3"/>
      <c r="P6" s="3"/>
      <c r="Q6" s="3"/>
      <c r="R6" s="4" t="s">
        <v>35</v>
      </c>
      <c r="S6" s="3"/>
      <c r="T6" s="4" t="str">
        <f>"047503-1"</f>
        <v>047503-1</v>
      </c>
      <c r="U6" s="4" t="str">
        <f>"01-128674"</f>
        <v>01-128674</v>
      </c>
      <c r="V6" s="4" t="str">
        <f>"11-152"</f>
        <v>11-152</v>
      </c>
      <c r="W6" s="4" t="s">
        <v>36</v>
      </c>
      <c r="X6" s="4" t="str">
        <f>"02MQ7"</f>
        <v>02MQ7</v>
      </c>
      <c r="Y6" s="4" t="str">
        <f>"047503-1"</f>
        <v>047503-1</v>
      </c>
      <c r="Z6" s="4" t="str">
        <f>""</f>
        <v/>
      </c>
      <c r="AA6" s="4" t="str">
        <f>""</f>
        <v/>
      </c>
      <c r="AB6" s="5">
        <v>43465</v>
      </c>
      <c r="AC6" s="4">
        <v>0</v>
      </c>
    </row>
    <row r="7" spans="1:29" ht="45" x14ac:dyDescent="0.25">
      <c r="A7" s="4" t="s">
        <v>25</v>
      </c>
      <c r="B7" s="4" t="s">
        <v>139</v>
      </c>
      <c r="C7" s="4" t="s">
        <v>140</v>
      </c>
      <c r="D7" s="4" t="s">
        <v>28</v>
      </c>
      <c r="E7" s="4" t="s">
        <v>249</v>
      </c>
      <c r="F7" s="4" t="s">
        <v>344</v>
      </c>
      <c r="G7" s="4" t="s">
        <v>344</v>
      </c>
      <c r="H7" s="4" t="s">
        <v>345</v>
      </c>
      <c r="I7" s="4" t="s">
        <v>351</v>
      </c>
      <c r="J7" s="4" t="str">
        <f>"5985SB0002499"</f>
        <v>5985SB0002499</v>
      </c>
      <c r="K7" s="4" t="s">
        <v>352</v>
      </c>
      <c r="L7" s="4" t="str">
        <f>""</f>
        <v/>
      </c>
      <c r="M7" s="4" t="str">
        <f>""</f>
        <v/>
      </c>
      <c r="N7" s="4" t="s">
        <v>34</v>
      </c>
      <c r="O7" s="3"/>
      <c r="P7" s="3"/>
      <c r="Q7" s="3"/>
      <c r="R7" s="4" t="s">
        <v>35</v>
      </c>
      <c r="S7" s="3"/>
      <c r="T7" s="4" t="str">
        <f>"09-612-2000-01"</f>
        <v>09-612-2000-01</v>
      </c>
      <c r="U7" s="4" t="str">
        <f>"01-128675"</f>
        <v>01-128675</v>
      </c>
      <c r="V7" s="4" t="str">
        <f>"005"</f>
        <v>005</v>
      </c>
      <c r="W7" s="4" t="s">
        <v>36</v>
      </c>
      <c r="X7" s="4" t="str">
        <f>"0P0N7"</f>
        <v>0P0N7</v>
      </c>
      <c r="Y7" s="4" t="str">
        <f>"99-612-2000-01"</f>
        <v>99-612-2000-01</v>
      </c>
      <c r="Z7" s="4" t="str">
        <f>""</f>
        <v/>
      </c>
      <c r="AA7" s="4" t="str">
        <f>""</f>
        <v/>
      </c>
      <c r="AB7" s="5">
        <v>43465</v>
      </c>
      <c r="AC7" s="4">
        <v>0</v>
      </c>
    </row>
    <row r="8" spans="1:29" ht="45" x14ac:dyDescent="0.25">
      <c r="A8" s="4" t="s">
        <v>25</v>
      </c>
      <c r="B8" s="4" t="s">
        <v>139</v>
      </c>
      <c r="C8" s="4" t="s">
        <v>140</v>
      </c>
      <c r="D8" s="4" t="s">
        <v>28</v>
      </c>
      <c r="E8" s="4" t="s">
        <v>249</v>
      </c>
      <c r="F8" s="4" t="s">
        <v>344</v>
      </c>
      <c r="G8" s="4" t="s">
        <v>344</v>
      </c>
      <c r="H8" s="4" t="s">
        <v>345</v>
      </c>
      <c r="I8" s="4" t="s">
        <v>289</v>
      </c>
      <c r="J8" s="4" t="str">
        <f>"5985SB0002524"</f>
        <v>5985SB0002524</v>
      </c>
      <c r="K8" s="4" t="s">
        <v>353</v>
      </c>
      <c r="L8" s="4" t="str">
        <f>""</f>
        <v/>
      </c>
      <c r="M8" s="4" t="str">
        <f>""</f>
        <v/>
      </c>
      <c r="N8" s="4" t="s">
        <v>34</v>
      </c>
      <c r="O8" s="3"/>
      <c r="P8" s="3"/>
      <c r="Q8" s="3"/>
      <c r="R8" s="4" t="s">
        <v>35</v>
      </c>
      <c r="S8" s="3"/>
      <c r="T8" s="4" t="str">
        <f>"4600701"</f>
        <v>4600701</v>
      </c>
      <c r="U8" s="4" t="str">
        <f>"01-128679"</f>
        <v>01-128679</v>
      </c>
      <c r="V8" s="4" t="str">
        <f>"P18600-1-005"</f>
        <v>P18600-1-005</v>
      </c>
      <c r="W8" s="4" t="s">
        <v>36</v>
      </c>
      <c r="X8" s="4" t="str">
        <f>"02MQ7"</f>
        <v>02MQ7</v>
      </c>
      <c r="Y8" s="4" t="str">
        <f>"4600701"</f>
        <v>4600701</v>
      </c>
      <c r="Z8" s="4" t="str">
        <f>""</f>
        <v/>
      </c>
      <c r="AA8" s="4" t="str">
        <f>""</f>
        <v/>
      </c>
      <c r="AB8" s="5">
        <v>43465</v>
      </c>
      <c r="AC8" s="4">
        <v>0</v>
      </c>
    </row>
    <row r="9" spans="1:29" ht="45" x14ac:dyDescent="0.25">
      <c r="A9" s="4" t="s">
        <v>25</v>
      </c>
      <c r="B9" s="4" t="s">
        <v>139</v>
      </c>
      <c r="C9" s="4" t="s">
        <v>140</v>
      </c>
      <c r="D9" s="4" t="s">
        <v>28</v>
      </c>
      <c r="E9" s="4" t="s">
        <v>249</v>
      </c>
      <c r="F9" s="4" t="s">
        <v>344</v>
      </c>
      <c r="G9" s="4" t="s">
        <v>344</v>
      </c>
      <c r="H9" s="4" t="s">
        <v>345</v>
      </c>
      <c r="I9" s="4" t="s">
        <v>354</v>
      </c>
      <c r="J9" s="4" t="str">
        <f>"5985SB0002598"</f>
        <v>5985SB0002598</v>
      </c>
      <c r="K9" s="4" t="s">
        <v>355</v>
      </c>
      <c r="L9" s="4" t="str">
        <f>""</f>
        <v/>
      </c>
      <c r="M9" s="4" t="str">
        <f>""</f>
        <v/>
      </c>
      <c r="N9" s="4" t="s">
        <v>34</v>
      </c>
      <c r="O9" s="3"/>
      <c r="P9" s="3"/>
      <c r="Q9" s="3"/>
      <c r="R9" s="4" t="s">
        <v>35</v>
      </c>
      <c r="S9" s="3"/>
      <c r="T9" s="4" t="str">
        <f>"044879-01"</f>
        <v>044879-01</v>
      </c>
      <c r="U9" s="4" t="str">
        <f>"NCIAX11191433"</f>
        <v>NCIAX11191433</v>
      </c>
      <c r="V9" s="4" t="str">
        <f>"5728124"</f>
        <v>5728124</v>
      </c>
      <c r="W9" s="4" t="s">
        <v>36</v>
      </c>
      <c r="X9" s="4" t="str">
        <f>"02MQ7"</f>
        <v>02MQ7</v>
      </c>
      <c r="Y9" s="4" t="str">
        <f>"044879-01"</f>
        <v>044879-01</v>
      </c>
      <c r="Z9" s="4" t="str">
        <f>""</f>
        <v/>
      </c>
      <c r="AA9" s="4" t="str">
        <f>""</f>
        <v/>
      </c>
      <c r="AB9" s="5">
        <v>43465</v>
      </c>
      <c r="AC9" s="4">
        <v>0</v>
      </c>
    </row>
    <row r="10" spans="1:29" ht="45" x14ac:dyDescent="0.25">
      <c r="A10" s="4" t="s">
        <v>25</v>
      </c>
      <c r="B10" s="4" t="s">
        <v>139</v>
      </c>
      <c r="C10" s="4" t="s">
        <v>140</v>
      </c>
      <c r="D10" s="4" t="s">
        <v>28</v>
      </c>
      <c r="E10" s="4" t="s">
        <v>249</v>
      </c>
      <c r="F10" s="4" t="s">
        <v>344</v>
      </c>
      <c r="G10" s="4" t="s">
        <v>344</v>
      </c>
      <c r="H10" s="4" t="s">
        <v>345</v>
      </c>
      <c r="I10" s="4" t="s">
        <v>289</v>
      </c>
      <c r="J10" s="4" t="str">
        <f>"5985SB0003514"</f>
        <v>5985SB0003514</v>
      </c>
      <c r="K10" s="4" t="s">
        <v>356</v>
      </c>
      <c r="L10" s="4" t="str">
        <f>""</f>
        <v/>
      </c>
      <c r="M10" s="4" t="str">
        <f>""</f>
        <v/>
      </c>
      <c r="N10" s="4" t="s">
        <v>34</v>
      </c>
      <c r="O10" s="3"/>
      <c r="P10" s="3"/>
      <c r="Q10" s="3"/>
      <c r="R10" s="4" t="s">
        <v>35</v>
      </c>
      <c r="S10" s="3"/>
      <c r="T10" s="4" t="str">
        <f>"P10057-1"</f>
        <v>P10057-1</v>
      </c>
      <c r="U10" s="4" t="str">
        <f>"01-128681"</f>
        <v>01-128681</v>
      </c>
      <c r="V10" s="4" t="str">
        <f>"B0910061769"</f>
        <v>B0910061769</v>
      </c>
      <c r="W10" s="4" t="s">
        <v>36</v>
      </c>
      <c r="X10" s="4" t="str">
        <f>"02MQ7"</f>
        <v>02MQ7</v>
      </c>
      <c r="Y10" s="4" t="str">
        <f>"P10057-1"</f>
        <v>P10057-1</v>
      </c>
      <c r="Z10" s="4" t="str">
        <f>""</f>
        <v/>
      </c>
      <c r="AA10" s="4" t="str">
        <f>""</f>
        <v/>
      </c>
      <c r="AB10" s="5">
        <v>43465</v>
      </c>
      <c r="AC10" s="4">
        <v>0</v>
      </c>
    </row>
    <row r="11" spans="1:29" ht="45" x14ac:dyDescent="0.25">
      <c r="A11" s="4" t="s">
        <v>25</v>
      </c>
      <c r="B11" s="4" t="s">
        <v>139</v>
      </c>
      <c r="C11" s="4" t="s">
        <v>140</v>
      </c>
      <c r="D11" s="4" t="s">
        <v>28</v>
      </c>
      <c r="E11" s="4" t="s">
        <v>249</v>
      </c>
      <c r="F11" s="4" t="s">
        <v>344</v>
      </c>
      <c r="G11" s="4" t="s">
        <v>344</v>
      </c>
      <c r="H11" s="4" t="s">
        <v>345</v>
      </c>
      <c r="I11" s="4" t="s">
        <v>59</v>
      </c>
      <c r="J11" s="4" t="str">
        <f>"5995SB0003019"</f>
        <v>5995SB0003019</v>
      </c>
      <c r="K11" s="4" t="s">
        <v>357</v>
      </c>
      <c r="L11" s="4" t="str">
        <f>""</f>
        <v/>
      </c>
      <c r="M11" s="4" t="str">
        <f>""</f>
        <v/>
      </c>
      <c r="N11" s="4" t="s">
        <v>34</v>
      </c>
      <c r="O11" s="3"/>
      <c r="P11" s="3"/>
      <c r="Q11" s="3"/>
      <c r="R11" s="4" t="s">
        <v>35</v>
      </c>
      <c r="S11" s="3"/>
      <c r="T11" s="4" t="str">
        <f>"10535-05021"</f>
        <v>10535-05021</v>
      </c>
      <c r="U11" s="4" t="str">
        <f>"03-137374"</f>
        <v>03-137374</v>
      </c>
      <c r="V11" s="4" t="str">
        <f>""</f>
        <v/>
      </c>
      <c r="W11" s="4" t="s">
        <v>36</v>
      </c>
      <c r="X11" s="4" t="str">
        <f>"02MQ7"</f>
        <v>02MQ7</v>
      </c>
      <c r="Y11" s="4" t="str">
        <f>"10535-05021"</f>
        <v>10535-05021</v>
      </c>
      <c r="Z11" s="4" t="str">
        <f>""</f>
        <v/>
      </c>
      <c r="AA11" s="4" t="str">
        <f>""</f>
        <v/>
      </c>
      <c r="AB11" s="5">
        <v>43465</v>
      </c>
      <c r="AC11" s="6">
        <v>5592781875</v>
      </c>
    </row>
    <row r="12" spans="1:29" ht="45" x14ac:dyDescent="0.25">
      <c r="A12" s="4" t="s">
        <v>25</v>
      </c>
      <c r="B12" s="4" t="s">
        <v>139</v>
      </c>
      <c r="C12" s="4" t="s">
        <v>140</v>
      </c>
      <c r="D12" s="4" t="s">
        <v>28</v>
      </c>
      <c r="E12" s="4" t="s">
        <v>249</v>
      </c>
      <c r="F12" s="4" t="s">
        <v>344</v>
      </c>
      <c r="G12" s="4" t="s">
        <v>344</v>
      </c>
      <c r="H12" s="4" t="s">
        <v>345</v>
      </c>
      <c r="I12" s="4" t="s">
        <v>59</v>
      </c>
      <c r="J12" s="4" t="str">
        <f>"5995SB0003796"</f>
        <v>5995SB0003796</v>
      </c>
      <c r="K12" s="4" t="s">
        <v>358</v>
      </c>
      <c r="L12" s="4" t="str">
        <f>""</f>
        <v/>
      </c>
      <c r="M12" s="4" t="str">
        <f>""</f>
        <v/>
      </c>
      <c r="N12" s="4" t="s">
        <v>34</v>
      </c>
      <c r="O12" s="3"/>
      <c r="P12" s="3"/>
      <c r="Q12" s="3"/>
      <c r="R12" s="4" t="s">
        <v>35</v>
      </c>
      <c r="S12" s="3"/>
      <c r="T12" s="4" t="str">
        <f>"10535-05020"</f>
        <v>10535-05020</v>
      </c>
      <c r="U12" s="4" t="str">
        <f>"03-137373"</f>
        <v>03-137373</v>
      </c>
      <c r="V12" s="4" t="str">
        <f>""</f>
        <v/>
      </c>
      <c r="W12" s="4" t="s">
        <v>36</v>
      </c>
      <c r="X12" s="4" t="str">
        <f>"02MQ7"</f>
        <v>02MQ7</v>
      </c>
      <c r="Y12" s="4" t="str">
        <f>"10535-05020"</f>
        <v>10535-05020</v>
      </c>
      <c r="Z12" s="4" t="str">
        <f>""</f>
        <v/>
      </c>
      <c r="AA12" s="4" t="str">
        <f>""</f>
        <v/>
      </c>
      <c r="AB12" s="5">
        <v>43465</v>
      </c>
      <c r="AC12" s="6">
        <v>3042865903666660</v>
      </c>
    </row>
    <row r="13" spans="1:29" ht="45" x14ac:dyDescent="0.25">
      <c r="A13" s="4" t="s">
        <v>25</v>
      </c>
      <c r="B13" s="4" t="s">
        <v>139</v>
      </c>
      <c r="C13" s="4" t="s">
        <v>140</v>
      </c>
      <c r="D13" s="4" t="s">
        <v>28</v>
      </c>
      <c r="E13" s="4" t="s">
        <v>249</v>
      </c>
      <c r="F13" s="4" t="s">
        <v>344</v>
      </c>
      <c r="G13" s="4" t="s">
        <v>344</v>
      </c>
      <c r="H13" s="4" t="s">
        <v>345</v>
      </c>
      <c r="I13" s="4" t="s">
        <v>289</v>
      </c>
      <c r="J13" s="4" t="str">
        <f>"5995SB0005558"</f>
        <v>5995SB0005558</v>
      </c>
      <c r="K13" s="4" t="s">
        <v>359</v>
      </c>
      <c r="L13" s="4" t="str">
        <f>""</f>
        <v/>
      </c>
      <c r="M13" s="4" t="str">
        <f>""</f>
        <v/>
      </c>
      <c r="N13" s="4" t="s">
        <v>34</v>
      </c>
      <c r="O13" s="3"/>
      <c r="P13" s="3"/>
      <c r="Q13" s="3"/>
      <c r="R13" s="4" t="s">
        <v>35</v>
      </c>
      <c r="S13" s="3"/>
      <c r="T13" s="4" t="str">
        <f>"99-261-3004-98"</f>
        <v>99-261-3004-98</v>
      </c>
      <c r="U13" s="4" t="str">
        <f>"NCIAX11191434"</f>
        <v>NCIAX11191434</v>
      </c>
      <c r="V13" s="4" t="str">
        <f>""</f>
        <v/>
      </c>
      <c r="W13" s="4" t="s">
        <v>36</v>
      </c>
      <c r="X13" s="4" t="str">
        <f>"0P0N7"</f>
        <v>0P0N7</v>
      </c>
      <c r="Y13" s="4" t="str">
        <f>"99-261-3004-98"</f>
        <v>99-261-3004-98</v>
      </c>
      <c r="Z13" s="4" t="str">
        <f>""</f>
        <v/>
      </c>
      <c r="AA13" s="4" t="str">
        <f>""</f>
        <v/>
      </c>
      <c r="AB13" s="5">
        <v>43465</v>
      </c>
      <c r="AC13" s="4">
        <v>0</v>
      </c>
    </row>
    <row r="14" spans="1:29" ht="45" x14ac:dyDescent="0.25">
      <c r="A14" s="4" t="s">
        <v>25</v>
      </c>
      <c r="B14" s="4" t="s">
        <v>139</v>
      </c>
      <c r="C14" s="4" t="s">
        <v>140</v>
      </c>
      <c r="D14" s="4" t="s">
        <v>28</v>
      </c>
      <c r="E14" s="4" t="s">
        <v>249</v>
      </c>
      <c r="F14" s="4" t="s">
        <v>344</v>
      </c>
      <c r="G14" s="4" t="s">
        <v>344</v>
      </c>
      <c r="H14" s="4" t="s">
        <v>345</v>
      </c>
      <c r="I14" s="4" t="s">
        <v>360</v>
      </c>
      <c r="J14" s="4" t="str">
        <f>"5996SB0001930"</f>
        <v>5996SB0001930</v>
      </c>
      <c r="K14" s="4" t="s">
        <v>144</v>
      </c>
      <c r="L14" s="4" t="str">
        <f>""</f>
        <v/>
      </c>
      <c r="M14" s="4" t="str">
        <f>""</f>
        <v/>
      </c>
      <c r="N14" s="4" t="s">
        <v>34</v>
      </c>
      <c r="O14" s="3"/>
      <c r="P14" s="3"/>
      <c r="Q14" s="3"/>
      <c r="R14" s="4" t="s">
        <v>35</v>
      </c>
      <c r="S14" s="3"/>
      <c r="T14" s="4" t="str">
        <f>"10536-08002"</f>
        <v>10536-08002</v>
      </c>
      <c r="U14" s="4" t="str">
        <f>"01-128724"</f>
        <v>01-128724</v>
      </c>
      <c r="V14" s="4" t="str">
        <f>"1001457"</f>
        <v>1001457</v>
      </c>
      <c r="W14" s="4" t="s">
        <v>36</v>
      </c>
      <c r="X14" s="4" t="str">
        <f>"02MQ7"</f>
        <v>02MQ7</v>
      </c>
      <c r="Y14" s="4" t="str">
        <f>"10536-08002"</f>
        <v>10536-08002</v>
      </c>
      <c r="Z14" s="4" t="str">
        <f>""</f>
        <v/>
      </c>
      <c r="AA14" s="4" t="str">
        <f>""</f>
        <v/>
      </c>
      <c r="AB14" s="5">
        <v>43465</v>
      </c>
      <c r="AC14" s="4">
        <v>0</v>
      </c>
    </row>
    <row r="15" spans="1:29" ht="45" x14ac:dyDescent="0.25">
      <c r="A15" s="4" t="s">
        <v>25</v>
      </c>
      <c r="B15" s="4" t="s">
        <v>139</v>
      </c>
      <c r="C15" s="4" t="s">
        <v>140</v>
      </c>
      <c r="D15" s="4" t="s">
        <v>28</v>
      </c>
      <c r="E15" s="4" t="s">
        <v>249</v>
      </c>
      <c r="F15" s="4" t="s">
        <v>344</v>
      </c>
      <c r="G15" s="4" t="s">
        <v>344</v>
      </c>
      <c r="H15" s="4" t="s">
        <v>345</v>
      </c>
      <c r="I15" s="4" t="s">
        <v>360</v>
      </c>
      <c r="J15" s="4" t="str">
        <f>"5996SB0001930"</f>
        <v>5996SB0001930</v>
      </c>
      <c r="K15" s="4" t="s">
        <v>144</v>
      </c>
      <c r="L15" s="4" t="str">
        <f>""</f>
        <v/>
      </c>
      <c r="M15" s="4" t="str">
        <f>""</f>
        <v/>
      </c>
      <c r="N15" s="4" t="s">
        <v>34</v>
      </c>
      <c r="O15" s="3"/>
      <c r="P15" s="3"/>
      <c r="Q15" s="3"/>
      <c r="R15" s="4" t="s">
        <v>35</v>
      </c>
      <c r="S15" s="3"/>
      <c r="T15" s="4" t="str">
        <f>"10536-08002"</f>
        <v>10536-08002</v>
      </c>
      <c r="U15" s="4" t="str">
        <f>"01-128736"</f>
        <v>01-128736</v>
      </c>
      <c r="V15" s="4" t="str">
        <f>"1001109"</f>
        <v>1001109</v>
      </c>
      <c r="W15" s="4" t="s">
        <v>36</v>
      </c>
      <c r="X15" s="4" t="str">
        <f>"02MQ7"</f>
        <v>02MQ7</v>
      </c>
      <c r="Y15" s="4" t="str">
        <f>"10536-08002"</f>
        <v>10536-08002</v>
      </c>
      <c r="Z15" s="4" t="str">
        <f>""</f>
        <v/>
      </c>
      <c r="AA15" s="4" t="str">
        <f>""</f>
        <v/>
      </c>
      <c r="AB15" s="5">
        <v>43465</v>
      </c>
      <c r="AC15" s="4">
        <v>0</v>
      </c>
    </row>
    <row r="16" spans="1:29" ht="45" x14ac:dyDescent="0.25">
      <c r="A16" s="4" t="s">
        <v>25</v>
      </c>
      <c r="B16" s="4" t="s">
        <v>139</v>
      </c>
      <c r="C16" s="4" t="s">
        <v>140</v>
      </c>
      <c r="D16" s="4" t="s">
        <v>28</v>
      </c>
      <c r="E16" s="4" t="s">
        <v>249</v>
      </c>
      <c r="F16" s="4" t="s">
        <v>344</v>
      </c>
      <c r="G16" s="4" t="s">
        <v>344</v>
      </c>
      <c r="H16" s="4" t="s">
        <v>345</v>
      </c>
      <c r="I16" s="4" t="s">
        <v>199</v>
      </c>
      <c r="J16" s="4" t="str">
        <f>"5996SB0003306"</f>
        <v>5996SB0003306</v>
      </c>
      <c r="K16" s="4" t="s">
        <v>200</v>
      </c>
      <c r="L16" s="4" t="str">
        <f>""</f>
        <v/>
      </c>
      <c r="M16" s="4" t="str">
        <f>""</f>
        <v/>
      </c>
      <c r="N16" s="4" t="s">
        <v>34</v>
      </c>
      <c r="O16" s="3"/>
      <c r="P16" s="3"/>
      <c r="Q16" s="3"/>
      <c r="R16" s="4" t="s">
        <v>35</v>
      </c>
      <c r="S16" s="3"/>
      <c r="T16" s="4" t="str">
        <f>"L207154-1"</f>
        <v>L207154-1</v>
      </c>
      <c r="U16" s="4" t="str">
        <f>"01-114064"</f>
        <v>01-114064</v>
      </c>
      <c r="V16" s="4" t="str">
        <f>"320"</f>
        <v>320</v>
      </c>
      <c r="W16" s="4" t="s">
        <v>36</v>
      </c>
      <c r="X16" s="4" t="str">
        <f>"1GLV3"</f>
        <v>1GLV3</v>
      </c>
      <c r="Y16" s="4" t="str">
        <f>"L-207154-1"</f>
        <v>L-207154-1</v>
      </c>
      <c r="Z16" s="4" t="str">
        <f>""</f>
        <v/>
      </c>
      <c r="AA16" s="4" t="str">
        <f>""</f>
        <v/>
      </c>
      <c r="AB16" s="5">
        <v>43465</v>
      </c>
      <c r="AC16" s="4">
        <v>3343.37</v>
      </c>
    </row>
    <row r="17" spans="1:29" ht="45" x14ac:dyDescent="0.25">
      <c r="A17" s="4" t="s">
        <v>25</v>
      </c>
      <c r="B17" s="4" t="s">
        <v>139</v>
      </c>
      <c r="C17" s="4" t="s">
        <v>140</v>
      </c>
      <c r="D17" s="4" t="s">
        <v>28</v>
      </c>
      <c r="E17" s="4" t="s">
        <v>249</v>
      </c>
      <c r="F17" s="4" t="s">
        <v>344</v>
      </c>
      <c r="G17" s="4" t="s">
        <v>344</v>
      </c>
      <c r="H17" s="4" t="s">
        <v>345</v>
      </c>
      <c r="I17" s="4" t="s">
        <v>199</v>
      </c>
      <c r="J17" s="4" t="str">
        <f>"5996SB0003306"</f>
        <v>5996SB0003306</v>
      </c>
      <c r="K17" s="4" t="s">
        <v>200</v>
      </c>
      <c r="L17" s="4" t="str">
        <f>""</f>
        <v/>
      </c>
      <c r="M17" s="4" t="str">
        <f>""</f>
        <v/>
      </c>
      <c r="N17" s="4" t="s">
        <v>34</v>
      </c>
      <c r="O17" s="3"/>
      <c r="P17" s="3"/>
      <c r="Q17" s="3"/>
      <c r="R17" s="4" t="s">
        <v>35</v>
      </c>
      <c r="S17" s="3"/>
      <c r="T17" s="4" t="str">
        <f>"L207154-1"</f>
        <v>L207154-1</v>
      </c>
      <c r="U17" s="4" t="str">
        <f>"NCIA10290870"</f>
        <v>NCIA10290870</v>
      </c>
      <c r="V17" s="4" t="str">
        <f>"208387"</f>
        <v>208387</v>
      </c>
      <c r="W17" s="4" t="s">
        <v>36</v>
      </c>
      <c r="X17" s="4" t="str">
        <f>"1GLV3"</f>
        <v>1GLV3</v>
      </c>
      <c r="Y17" s="4" t="str">
        <f>"L-207154-1"</f>
        <v>L-207154-1</v>
      </c>
      <c r="Z17" s="4" t="str">
        <f>""</f>
        <v/>
      </c>
      <c r="AA17" s="4" t="str">
        <f>""</f>
        <v/>
      </c>
      <c r="AB17" s="5">
        <v>43465</v>
      </c>
      <c r="AC17" s="4">
        <v>3343.37</v>
      </c>
    </row>
    <row r="18" spans="1:29" ht="45" x14ac:dyDescent="0.25">
      <c r="A18" s="4" t="s">
        <v>25</v>
      </c>
      <c r="B18" s="4" t="s">
        <v>139</v>
      </c>
      <c r="C18" s="4" t="s">
        <v>140</v>
      </c>
      <c r="D18" s="4" t="s">
        <v>28</v>
      </c>
      <c r="E18" s="4" t="s">
        <v>249</v>
      </c>
      <c r="F18" s="4" t="s">
        <v>344</v>
      </c>
      <c r="G18" s="4" t="s">
        <v>344</v>
      </c>
      <c r="H18" s="4" t="s">
        <v>345</v>
      </c>
      <c r="I18" s="4" t="s">
        <v>289</v>
      </c>
      <c r="J18" s="4" t="str">
        <f>"5999SB0003383"</f>
        <v>5999SB0003383</v>
      </c>
      <c r="K18" s="4" t="s">
        <v>290</v>
      </c>
      <c r="L18" s="4" t="str">
        <f>""</f>
        <v/>
      </c>
      <c r="M18" s="4" t="str">
        <f>""</f>
        <v/>
      </c>
      <c r="N18" s="4" t="s">
        <v>34</v>
      </c>
      <c r="O18" s="3"/>
      <c r="P18" s="3"/>
      <c r="Q18" s="3"/>
      <c r="R18" s="4" t="s">
        <v>35</v>
      </c>
      <c r="S18" s="3"/>
      <c r="T18" s="4" t="str">
        <f>"99-261-3004-01"</f>
        <v>99-261-3004-01</v>
      </c>
      <c r="U18" s="4" t="str">
        <f>"NCIA10262802"</f>
        <v>NCIA10262802</v>
      </c>
      <c r="V18" s="4" t="str">
        <f>"VCL16061131"</f>
        <v>VCL16061131</v>
      </c>
      <c r="W18" s="4" t="s">
        <v>36</v>
      </c>
      <c r="X18" s="4" t="str">
        <f>"02MQ7"</f>
        <v>02MQ7</v>
      </c>
      <c r="Y18" s="4" t="str">
        <f>"99-261-3004-01"</f>
        <v>99-261-3004-01</v>
      </c>
      <c r="Z18" s="4" t="str">
        <f>""</f>
        <v/>
      </c>
      <c r="AA18" s="4" t="str">
        <f>""</f>
        <v/>
      </c>
      <c r="AB18" s="5">
        <v>43465</v>
      </c>
      <c r="AC18" s="6">
        <v>2.85433666666666E+16</v>
      </c>
    </row>
    <row r="19" spans="1:29" ht="45" x14ac:dyDescent="0.25">
      <c r="A19" s="4" t="s">
        <v>25</v>
      </c>
      <c r="B19" s="4" t="s">
        <v>139</v>
      </c>
      <c r="C19" s="4" t="s">
        <v>140</v>
      </c>
      <c r="D19" s="4" t="s">
        <v>28</v>
      </c>
      <c r="E19" s="4" t="s">
        <v>249</v>
      </c>
      <c r="F19" s="4" t="s">
        <v>344</v>
      </c>
      <c r="G19" s="4" t="s">
        <v>344</v>
      </c>
      <c r="H19" s="4" t="s">
        <v>345</v>
      </c>
      <c r="I19" s="4" t="s">
        <v>361</v>
      </c>
      <c r="J19" s="4" t="str">
        <f>"5999SB0003753"</f>
        <v>5999SB0003753</v>
      </c>
      <c r="K19" s="4" t="s">
        <v>362</v>
      </c>
      <c r="L19" s="4" t="str">
        <f>""</f>
        <v/>
      </c>
      <c r="M19" s="4" t="str">
        <f>""</f>
        <v/>
      </c>
      <c r="N19" s="4" t="s">
        <v>34</v>
      </c>
      <c r="O19" s="3"/>
      <c r="P19" s="3"/>
      <c r="Q19" s="3"/>
      <c r="R19" s="4" t="s">
        <v>35</v>
      </c>
      <c r="S19" s="3"/>
      <c r="T19" s="4" t="str">
        <f>"SMHN-1672"</f>
        <v>SMHN-1672</v>
      </c>
      <c r="U19" s="4" t="str">
        <f>"NCIA10197641"</f>
        <v>NCIA10197641</v>
      </c>
      <c r="V19" s="4" t="str">
        <f>"058"</f>
        <v>058</v>
      </c>
      <c r="W19" s="4" t="s">
        <v>36</v>
      </c>
      <c r="X19" s="4" t="str">
        <f>"02MQ7"</f>
        <v>02MQ7</v>
      </c>
      <c r="Y19" s="4" t="str">
        <f>"SMHN-1672"</f>
        <v>SMHN-1672</v>
      </c>
      <c r="Z19" s="4" t="str">
        <f>""</f>
        <v/>
      </c>
      <c r="AA19" s="4" t="str">
        <f>""</f>
        <v/>
      </c>
      <c r="AB19" s="5">
        <v>43465</v>
      </c>
      <c r="AC19" s="6">
        <v>2443803</v>
      </c>
    </row>
    <row r="20" spans="1:29" ht="45" x14ac:dyDescent="0.25">
      <c r="A20" s="4" t="s">
        <v>25</v>
      </c>
      <c r="B20" s="4" t="s">
        <v>139</v>
      </c>
      <c r="C20" s="4" t="s">
        <v>140</v>
      </c>
      <c r="D20" s="4" t="s">
        <v>28</v>
      </c>
      <c r="E20" s="4" t="s">
        <v>249</v>
      </c>
      <c r="F20" s="4" t="s">
        <v>344</v>
      </c>
      <c r="G20" s="4" t="s">
        <v>344</v>
      </c>
      <c r="H20" s="4" t="s">
        <v>345</v>
      </c>
      <c r="I20" s="4" t="s">
        <v>363</v>
      </c>
      <c r="J20" s="4" t="str">
        <f>"5999SB0017267"</f>
        <v>5999SB0017267</v>
      </c>
      <c r="K20" s="4" t="s">
        <v>364</v>
      </c>
      <c r="L20" s="4" t="str">
        <f>""</f>
        <v/>
      </c>
      <c r="M20" s="4" t="str">
        <f>""</f>
        <v/>
      </c>
      <c r="N20" s="4" t="s">
        <v>34</v>
      </c>
      <c r="O20" s="3"/>
      <c r="P20" s="3"/>
      <c r="Q20" s="3"/>
      <c r="R20" s="4" t="s">
        <v>35</v>
      </c>
      <c r="S20" s="3"/>
      <c r="T20" s="4" t="str">
        <f>"4940015197151"</f>
        <v>4940015197151</v>
      </c>
      <c r="U20" s="4" t="str">
        <f>"NCIAX1003077"</f>
        <v>NCIAX1003077</v>
      </c>
      <c r="V20" s="4" t="str">
        <f>""</f>
        <v/>
      </c>
      <c r="W20" s="4" t="s">
        <v>36</v>
      </c>
      <c r="X20" s="4" t="str">
        <f>"0P0N7"</f>
        <v>0P0N7</v>
      </c>
      <c r="Y20" s="4" t="str">
        <f>"99-261-3003-03"</f>
        <v>99-261-3003-03</v>
      </c>
      <c r="Z20" s="4" t="str">
        <f>""</f>
        <v/>
      </c>
      <c r="AA20" s="4" t="str">
        <f>""</f>
        <v/>
      </c>
      <c r="AB20" s="5">
        <v>43465</v>
      </c>
      <c r="AC20" s="4">
        <v>1642.79</v>
      </c>
    </row>
    <row r="21" spans="1:29" x14ac:dyDescent="0.25">
      <c r="A21" s="262"/>
      <c r="B21" s="264" t="s">
        <v>135</v>
      </c>
      <c r="C21" s="7" t="s">
        <v>136</v>
      </c>
      <c r="D21" s="8">
        <v>44287</v>
      </c>
    </row>
    <row r="22" spans="1:29" ht="12" customHeight="1" x14ac:dyDescent="0.25">
      <c r="A22" s="263"/>
      <c r="B22" s="265"/>
      <c r="C22" s="7" t="s">
        <v>137</v>
      </c>
      <c r="D22" s="9" t="s">
        <v>138</v>
      </c>
    </row>
  </sheetData>
  <mergeCells count="2">
    <mergeCell ref="A21:A22"/>
    <mergeCell ref="B21:B2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7"/>
  <sheetViews>
    <sheetView workbookViewId="0">
      <selection activeCell="C6" sqref="C6"/>
    </sheetView>
  </sheetViews>
  <sheetFormatPr defaultRowHeight="15" x14ac:dyDescent="0.25"/>
  <cols>
    <col min="1" max="1" width="23.28515625" bestFit="1" customWidth="1"/>
    <col min="2" max="2" width="36.5703125" bestFit="1" customWidth="1"/>
    <col min="3" max="3" width="17.85546875" bestFit="1" customWidth="1"/>
    <col min="4" max="4" width="9.7109375" bestFit="1" customWidth="1"/>
    <col min="5" max="5" width="20.42578125" bestFit="1" customWidth="1"/>
    <col min="6" max="6" width="16" bestFit="1" customWidth="1"/>
    <col min="7" max="7" width="15.85546875" bestFit="1" customWidth="1"/>
    <col min="8" max="8" width="15" bestFit="1" customWidth="1"/>
    <col min="9" max="9" width="10.28515625" bestFit="1" customWidth="1"/>
    <col min="10" max="10" width="4.5703125" customWidth="1"/>
    <col min="11" max="11" width="36.5703125" bestFit="1" customWidth="1"/>
    <col min="12" max="12" width="7.5703125" customWidth="1"/>
    <col min="13" max="13" width="13.42578125" bestFit="1" customWidth="1"/>
    <col min="14" max="14" width="4.5703125" customWidth="1"/>
    <col min="18" max="18" width="14.85546875" bestFit="1" customWidth="1"/>
    <col min="20" max="20" width="11.140625" bestFit="1" customWidth="1"/>
    <col min="21" max="21" width="12.140625" bestFit="1" customWidth="1"/>
    <col min="22" max="22" width="18.7109375" bestFit="1" customWidth="1"/>
    <col min="23" max="23" width="17.85546875" bestFit="1" customWidth="1"/>
    <col min="24" max="24" width="12" bestFit="1" customWidth="1"/>
    <col min="25" max="25" width="12.42578125" bestFit="1" customWidth="1"/>
    <col min="26" max="26" width="14" bestFit="1" customWidth="1"/>
    <col min="27" max="27" width="18.28515625" bestFit="1" customWidth="1"/>
    <col min="28" max="28" width="13.85546875" bestFit="1" customWidth="1"/>
    <col min="29" max="29" width="14.42578125" bestFit="1" customWidth="1"/>
  </cols>
  <sheetData>
    <row r="1" spans="1:29" ht="22.5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1"/>
      <c r="P1" s="1"/>
      <c r="Q1" s="1"/>
      <c r="R1" s="2" t="s">
        <v>14</v>
      </c>
      <c r="S1" s="1"/>
      <c r="T1" s="2" t="s">
        <v>15</v>
      </c>
      <c r="U1" s="2" t="s">
        <v>16</v>
      </c>
      <c r="V1" s="2" t="s">
        <v>17</v>
      </c>
      <c r="W1" s="2" t="s">
        <v>18</v>
      </c>
      <c r="X1" s="2" t="s">
        <v>19</v>
      </c>
      <c r="Y1" s="2" t="s">
        <v>20</v>
      </c>
      <c r="Z1" s="2" t="s">
        <v>21</v>
      </c>
      <c r="AA1" s="2" t="s">
        <v>22</v>
      </c>
      <c r="AB1" s="2" t="s">
        <v>23</v>
      </c>
      <c r="AC1" s="2" t="s">
        <v>24</v>
      </c>
    </row>
    <row r="2" spans="1:29" ht="45" x14ac:dyDescent="0.25">
      <c r="A2" s="4" t="s">
        <v>25</v>
      </c>
      <c r="B2" s="4" t="s">
        <v>26</v>
      </c>
      <c r="C2" s="4" t="s">
        <v>27</v>
      </c>
      <c r="D2" s="4" t="s">
        <v>28</v>
      </c>
      <c r="E2" s="4" t="s">
        <v>26</v>
      </c>
      <c r="F2" s="4" t="s">
        <v>365</v>
      </c>
      <c r="G2" s="4" t="s">
        <v>365</v>
      </c>
      <c r="H2" s="4" t="s">
        <v>366</v>
      </c>
      <c r="I2" s="4" t="s">
        <v>339</v>
      </c>
      <c r="J2" s="4" t="str">
        <f>"5810SB0058100"</f>
        <v>5810SB0058100</v>
      </c>
      <c r="K2" s="4" t="s">
        <v>346</v>
      </c>
      <c r="L2" s="4" t="str">
        <f>""</f>
        <v/>
      </c>
      <c r="M2" s="4" t="str">
        <f>""</f>
        <v/>
      </c>
      <c r="N2" s="4" t="s">
        <v>34</v>
      </c>
      <c r="O2" s="3"/>
      <c r="P2" s="3"/>
      <c r="Q2" s="3"/>
      <c r="R2" s="4" t="s">
        <v>35</v>
      </c>
      <c r="S2" s="3"/>
      <c r="T2" s="4" t="str">
        <f>""</f>
        <v/>
      </c>
      <c r="U2" s="4" t="str">
        <f>"NCIA12004626"</f>
        <v>NCIA12004626</v>
      </c>
      <c r="V2" s="4" t="str">
        <f>""</f>
        <v/>
      </c>
      <c r="W2" s="4" t="s">
        <v>36</v>
      </c>
      <c r="X2" s="4" t="str">
        <f>"02MQ7"</f>
        <v>02MQ7</v>
      </c>
      <c r="Y2" s="4" t="str">
        <f>"01-000738"</f>
        <v>01-000738</v>
      </c>
      <c r="Z2" s="4" t="str">
        <f>""</f>
        <v/>
      </c>
      <c r="AA2" s="4" t="str">
        <f>""</f>
        <v/>
      </c>
      <c r="AB2" s="5">
        <v>43592</v>
      </c>
      <c r="AC2" s="4">
        <v>0</v>
      </c>
    </row>
    <row r="3" spans="1:29" ht="45" x14ac:dyDescent="0.25">
      <c r="A3" s="4" t="s">
        <v>25</v>
      </c>
      <c r="B3" s="4" t="s">
        <v>26</v>
      </c>
      <c r="C3" s="4" t="s">
        <v>27</v>
      </c>
      <c r="D3" s="4" t="s">
        <v>28</v>
      </c>
      <c r="E3" s="4" t="s">
        <v>26</v>
      </c>
      <c r="F3" s="4" t="s">
        <v>365</v>
      </c>
      <c r="G3" s="4" t="s">
        <v>365</v>
      </c>
      <c r="H3" s="4" t="s">
        <v>366</v>
      </c>
      <c r="I3" s="4" t="s">
        <v>289</v>
      </c>
      <c r="J3" s="4" t="str">
        <f>"5895SB0005521"</f>
        <v>5895SB0005521</v>
      </c>
      <c r="K3" s="4" t="s">
        <v>347</v>
      </c>
      <c r="L3" s="4" t="str">
        <f>""</f>
        <v/>
      </c>
      <c r="M3" s="4" t="str">
        <f>""</f>
        <v/>
      </c>
      <c r="N3" s="4" t="s">
        <v>34</v>
      </c>
      <c r="O3" s="3"/>
      <c r="P3" s="3"/>
      <c r="Q3" s="3"/>
      <c r="R3" s="4" t="s">
        <v>35</v>
      </c>
      <c r="S3" s="3"/>
      <c r="T3" s="4" t="str">
        <f>"12719-300"</f>
        <v>12719-300</v>
      </c>
      <c r="U3" s="4" t="str">
        <f>"01-128810"</f>
        <v>01-128810</v>
      </c>
      <c r="V3" s="4" t="str">
        <f>"838"</f>
        <v>838</v>
      </c>
      <c r="W3" s="4" t="s">
        <v>36</v>
      </c>
      <c r="X3" s="4" t="str">
        <f>"0BFK7"</f>
        <v>0BFK7</v>
      </c>
      <c r="Y3" s="4" t="str">
        <f>"12719-300"</f>
        <v>12719-300</v>
      </c>
      <c r="Z3" s="4" t="str">
        <f>""</f>
        <v/>
      </c>
      <c r="AA3" s="4" t="str">
        <f>""</f>
        <v/>
      </c>
      <c r="AB3" s="5">
        <v>43465</v>
      </c>
      <c r="AC3" s="4">
        <v>0</v>
      </c>
    </row>
    <row r="4" spans="1:29" ht="45" x14ac:dyDescent="0.25">
      <c r="A4" s="4" t="s">
        <v>25</v>
      </c>
      <c r="B4" s="4" t="s">
        <v>26</v>
      </c>
      <c r="C4" s="4" t="s">
        <v>27</v>
      </c>
      <c r="D4" s="4" t="s">
        <v>28</v>
      </c>
      <c r="E4" s="4" t="s">
        <v>26</v>
      </c>
      <c r="F4" s="4" t="s">
        <v>365</v>
      </c>
      <c r="G4" s="4" t="s">
        <v>365</v>
      </c>
      <c r="H4" s="4" t="s">
        <v>366</v>
      </c>
      <c r="I4" s="4" t="s">
        <v>289</v>
      </c>
      <c r="J4" s="4" t="str">
        <f>"5985SB0001899"</f>
        <v>5985SB0001899</v>
      </c>
      <c r="K4" s="4" t="s">
        <v>348</v>
      </c>
      <c r="L4" s="4" t="str">
        <f>""</f>
        <v/>
      </c>
      <c r="M4" s="4" t="str">
        <f>""</f>
        <v/>
      </c>
      <c r="N4" s="4" t="s">
        <v>34</v>
      </c>
      <c r="O4" s="3"/>
      <c r="P4" s="3"/>
      <c r="Q4" s="3"/>
      <c r="R4" s="4" t="s">
        <v>35</v>
      </c>
      <c r="S4" s="3"/>
      <c r="T4" s="4" t="str">
        <f>"047496-03 B"</f>
        <v>047496-03 B</v>
      </c>
      <c r="U4" s="4" t="str">
        <f>"01-128804"</f>
        <v>01-128804</v>
      </c>
      <c r="V4" s="4" t="str">
        <f>"DD149-113"</f>
        <v>DD149-113</v>
      </c>
      <c r="W4" s="4" t="s">
        <v>36</v>
      </c>
      <c r="X4" s="4" t="str">
        <f>"1GD22"</f>
        <v>1GD22</v>
      </c>
      <c r="Y4" s="4" t="str">
        <f>"047496-03 B"</f>
        <v>047496-03 B</v>
      </c>
      <c r="Z4" s="4" t="str">
        <f>""</f>
        <v/>
      </c>
      <c r="AA4" s="4" t="str">
        <f>""</f>
        <v/>
      </c>
      <c r="AB4" s="5">
        <v>43465</v>
      </c>
      <c r="AC4" s="4">
        <v>0</v>
      </c>
    </row>
    <row r="5" spans="1:29" ht="45" x14ac:dyDescent="0.25">
      <c r="A5" s="4" t="s">
        <v>25</v>
      </c>
      <c r="B5" s="4" t="s">
        <v>26</v>
      </c>
      <c r="C5" s="4" t="s">
        <v>27</v>
      </c>
      <c r="D5" s="4" t="s">
        <v>28</v>
      </c>
      <c r="E5" s="4" t="s">
        <v>26</v>
      </c>
      <c r="F5" s="4" t="s">
        <v>365</v>
      </c>
      <c r="G5" s="4" t="s">
        <v>365</v>
      </c>
      <c r="H5" s="4" t="s">
        <v>366</v>
      </c>
      <c r="I5" s="4" t="s">
        <v>289</v>
      </c>
      <c r="J5" s="4" t="str">
        <f>"5985SB0002497"</f>
        <v>5985SB0002497</v>
      </c>
      <c r="K5" s="4" t="s">
        <v>349</v>
      </c>
      <c r="L5" s="4" t="str">
        <f>""</f>
        <v/>
      </c>
      <c r="M5" s="4" t="str">
        <f>""</f>
        <v/>
      </c>
      <c r="N5" s="4" t="s">
        <v>34</v>
      </c>
      <c r="O5" s="3"/>
      <c r="P5" s="3"/>
      <c r="Q5" s="3"/>
      <c r="R5" s="4" t="s">
        <v>35</v>
      </c>
      <c r="S5" s="3"/>
      <c r="T5" s="4" t="str">
        <f>"047502-1"</f>
        <v>047502-1</v>
      </c>
      <c r="U5" s="4" t="str">
        <f>"01-128805"</f>
        <v>01-128805</v>
      </c>
      <c r="V5" s="4" t="str">
        <f>"11-027"</f>
        <v>11-027</v>
      </c>
      <c r="W5" s="4" t="s">
        <v>36</v>
      </c>
      <c r="X5" s="4" t="str">
        <f>"1GD22"</f>
        <v>1GD22</v>
      </c>
      <c r="Y5" s="4" t="str">
        <f>"047502-1"</f>
        <v>047502-1</v>
      </c>
      <c r="Z5" s="4" t="str">
        <f>""</f>
        <v/>
      </c>
      <c r="AA5" s="4" t="str">
        <f>""</f>
        <v/>
      </c>
      <c r="AB5" s="5">
        <v>43465</v>
      </c>
      <c r="AC5" s="4">
        <v>0</v>
      </c>
    </row>
    <row r="6" spans="1:29" ht="45" x14ac:dyDescent="0.25">
      <c r="A6" s="4" t="s">
        <v>25</v>
      </c>
      <c r="B6" s="4" t="s">
        <v>26</v>
      </c>
      <c r="C6" s="4" t="s">
        <v>27</v>
      </c>
      <c r="D6" s="4" t="s">
        <v>28</v>
      </c>
      <c r="E6" s="4" t="s">
        <v>26</v>
      </c>
      <c r="F6" s="4" t="s">
        <v>365</v>
      </c>
      <c r="G6" s="4" t="s">
        <v>365</v>
      </c>
      <c r="H6" s="4" t="s">
        <v>366</v>
      </c>
      <c r="I6" s="4" t="s">
        <v>289</v>
      </c>
      <c r="J6" s="4" t="str">
        <f>"5985SB0002498"</f>
        <v>5985SB0002498</v>
      </c>
      <c r="K6" s="4" t="s">
        <v>350</v>
      </c>
      <c r="L6" s="4" t="str">
        <f>""</f>
        <v/>
      </c>
      <c r="M6" s="4" t="str">
        <f>""</f>
        <v/>
      </c>
      <c r="N6" s="4" t="s">
        <v>34</v>
      </c>
      <c r="O6" s="3"/>
      <c r="P6" s="3"/>
      <c r="Q6" s="3"/>
      <c r="R6" s="4" t="s">
        <v>35</v>
      </c>
      <c r="S6" s="3"/>
      <c r="T6" s="4" t="str">
        <f>"047503-1"</f>
        <v>047503-1</v>
      </c>
      <c r="U6" s="4" t="str">
        <f>"01-128806"</f>
        <v>01-128806</v>
      </c>
      <c r="V6" s="4" t="str">
        <f>"11-027"</f>
        <v>11-027</v>
      </c>
      <c r="W6" s="4" t="s">
        <v>36</v>
      </c>
      <c r="X6" s="4" t="str">
        <f>"1GD22"</f>
        <v>1GD22</v>
      </c>
      <c r="Y6" s="4" t="str">
        <f>"047503-1"</f>
        <v>047503-1</v>
      </c>
      <c r="Z6" s="4" t="str">
        <f>""</f>
        <v/>
      </c>
      <c r="AA6" s="4" t="str">
        <f>""</f>
        <v/>
      </c>
      <c r="AB6" s="5">
        <v>43465</v>
      </c>
      <c r="AC6" s="4">
        <v>0</v>
      </c>
    </row>
    <row r="7" spans="1:29" ht="45" x14ac:dyDescent="0.25">
      <c r="A7" s="4" t="s">
        <v>25</v>
      </c>
      <c r="B7" s="4" t="s">
        <v>26</v>
      </c>
      <c r="C7" s="4" t="s">
        <v>27</v>
      </c>
      <c r="D7" s="4" t="s">
        <v>28</v>
      </c>
      <c r="E7" s="4" t="s">
        <v>26</v>
      </c>
      <c r="F7" s="4" t="s">
        <v>365</v>
      </c>
      <c r="G7" s="4" t="s">
        <v>365</v>
      </c>
      <c r="H7" s="4" t="s">
        <v>366</v>
      </c>
      <c r="I7" s="4" t="s">
        <v>351</v>
      </c>
      <c r="J7" s="4" t="str">
        <f>"5985SB0002499"</f>
        <v>5985SB0002499</v>
      </c>
      <c r="K7" s="4" t="s">
        <v>352</v>
      </c>
      <c r="L7" s="4" t="str">
        <f>""</f>
        <v/>
      </c>
      <c r="M7" s="4" t="str">
        <f>""</f>
        <v/>
      </c>
      <c r="N7" s="4" t="s">
        <v>34</v>
      </c>
      <c r="O7" s="3"/>
      <c r="P7" s="3"/>
      <c r="Q7" s="3"/>
      <c r="R7" s="4" t="s">
        <v>35</v>
      </c>
      <c r="S7" s="3"/>
      <c r="T7" s="4" t="str">
        <f>"09-612-2000-01"</f>
        <v>09-612-2000-01</v>
      </c>
      <c r="U7" s="4" t="str">
        <f>"NCIA10291188"</f>
        <v>NCIA10291188</v>
      </c>
      <c r="V7" s="4" t="str">
        <f>"ODU16060003"</f>
        <v>ODU16060003</v>
      </c>
      <c r="W7" s="4" t="s">
        <v>36</v>
      </c>
      <c r="X7" s="4" t="str">
        <f>"0P0N7"</f>
        <v>0P0N7</v>
      </c>
      <c r="Y7" s="4" t="str">
        <f>"09-612-2000-04"</f>
        <v>09-612-2000-04</v>
      </c>
      <c r="Z7" s="4" t="str">
        <f>""</f>
        <v/>
      </c>
      <c r="AA7" s="4" t="str">
        <f>""</f>
        <v/>
      </c>
      <c r="AB7" s="5">
        <v>43465</v>
      </c>
      <c r="AC7" s="4">
        <v>0</v>
      </c>
    </row>
    <row r="8" spans="1:29" ht="45" x14ac:dyDescent="0.25">
      <c r="A8" s="4" t="s">
        <v>25</v>
      </c>
      <c r="B8" s="4" t="s">
        <v>26</v>
      </c>
      <c r="C8" s="4" t="s">
        <v>27</v>
      </c>
      <c r="D8" s="4" t="s">
        <v>28</v>
      </c>
      <c r="E8" s="4" t="s">
        <v>26</v>
      </c>
      <c r="F8" s="4" t="s">
        <v>365</v>
      </c>
      <c r="G8" s="4" t="s">
        <v>365</v>
      </c>
      <c r="H8" s="4" t="s">
        <v>366</v>
      </c>
      <c r="I8" s="4" t="s">
        <v>289</v>
      </c>
      <c r="J8" s="4" t="str">
        <f>"5985SB0002524"</f>
        <v>5985SB0002524</v>
      </c>
      <c r="K8" s="4" t="s">
        <v>353</v>
      </c>
      <c r="L8" s="4" t="str">
        <f>""</f>
        <v/>
      </c>
      <c r="M8" s="4" t="str">
        <f>""</f>
        <v/>
      </c>
      <c r="N8" s="4" t="s">
        <v>34</v>
      </c>
      <c r="O8" s="3"/>
      <c r="P8" s="3"/>
      <c r="Q8" s="3"/>
      <c r="R8" s="4" t="s">
        <v>35</v>
      </c>
      <c r="S8" s="3"/>
      <c r="T8" s="4" t="str">
        <f>"4600701"</f>
        <v>4600701</v>
      </c>
      <c r="U8" s="4" t="str">
        <f>"01-128811"</f>
        <v>01-128811</v>
      </c>
      <c r="V8" s="4" t="str">
        <f>"P18600-1-010"</f>
        <v>P18600-1-010</v>
      </c>
      <c r="W8" s="4" t="s">
        <v>36</v>
      </c>
      <c r="X8" s="4" t="str">
        <f>"1CSL0"</f>
        <v>1CSL0</v>
      </c>
      <c r="Y8" s="4" t="str">
        <f>"4600701"</f>
        <v>4600701</v>
      </c>
      <c r="Z8" s="4" t="str">
        <f>""</f>
        <v/>
      </c>
      <c r="AA8" s="4" t="str">
        <f>""</f>
        <v/>
      </c>
      <c r="AB8" s="5">
        <v>43465</v>
      </c>
      <c r="AC8" s="4">
        <v>0</v>
      </c>
    </row>
    <row r="9" spans="1:29" ht="45" x14ac:dyDescent="0.25">
      <c r="A9" s="4" t="s">
        <v>25</v>
      </c>
      <c r="B9" s="4" t="s">
        <v>26</v>
      </c>
      <c r="C9" s="4" t="s">
        <v>27</v>
      </c>
      <c r="D9" s="4" t="s">
        <v>28</v>
      </c>
      <c r="E9" s="4" t="s">
        <v>26</v>
      </c>
      <c r="F9" s="4" t="s">
        <v>365</v>
      </c>
      <c r="G9" s="4" t="s">
        <v>365</v>
      </c>
      <c r="H9" s="4" t="s">
        <v>366</v>
      </c>
      <c r="I9" s="4" t="s">
        <v>354</v>
      </c>
      <c r="J9" s="4" t="str">
        <f>"5985SB0002598"</f>
        <v>5985SB0002598</v>
      </c>
      <c r="K9" s="4" t="s">
        <v>355</v>
      </c>
      <c r="L9" s="4" t="str">
        <f>""</f>
        <v/>
      </c>
      <c r="M9" s="4" t="str">
        <f>""</f>
        <v/>
      </c>
      <c r="N9" s="4" t="s">
        <v>34</v>
      </c>
      <c r="O9" s="3"/>
      <c r="P9" s="3"/>
      <c r="Q9" s="3"/>
      <c r="R9" s="4" t="s">
        <v>35</v>
      </c>
      <c r="S9" s="3"/>
      <c r="T9" s="4" t="str">
        <f>"044879-01"</f>
        <v>044879-01</v>
      </c>
      <c r="U9" s="4" t="str">
        <f>"NCIAX11177258"</f>
        <v>NCIAX11177258</v>
      </c>
      <c r="V9" s="4" t="str">
        <f>""</f>
        <v/>
      </c>
      <c r="W9" s="4" t="s">
        <v>36</v>
      </c>
      <c r="X9" s="4" t="str">
        <f>"02MQ7"</f>
        <v>02MQ7</v>
      </c>
      <c r="Y9" s="4" t="str">
        <f>"044879-01"</f>
        <v>044879-01</v>
      </c>
      <c r="Z9" s="4" t="str">
        <f>""</f>
        <v/>
      </c>
      <c r="AA9" s="4" t="str">
        <f>""</f>
        <v/>
      </c>
      <c r="AB9" s="5">
        <v>43465</v>
      </c>
      <c r="AC9" s="4">
        <v>0</v>
      </c>
    </row>
    <row r="10" spans="1:29" ht="45" x14ac:dyDescent="0.25">
      <c r="A10" s="4" t="s">
        <v>25</v>
      </c>
      <c r="B10" s="4" t="s">
        <v>26</v>
      </c>
      <c r="C10" s="4" t="s">
        <v>27</v>
      </c>
      <c r="D10" s="4" t="s">
        <v>28</v>
      </c>
      <c r="E10" s="4" t="s">
        <v>26</v>
      </c>
      <c r="F10" s="4" t="s">
        <v>365</v>
      </c>
      <c r="G10" s="4" t="s">
        <v>365</v>
      </c>
      <c r="H10" s="4" t="s">
        <v>366</v>
      </c>
      <c r="I10" s="4" t="s">
        <v>289</v>
      </c>
      <c r="J10" s="4" t="str">
        <f>"5985SB0003514"</f>
        <v>5985SB0003514</v>
      </c>
      <c r="K10" s="4" t="s">
        <v>356</v>
      </c>
      <c r="L10" s="4" t="str">
        <f>""</f>
        <v/>
      </c>
      <c r="M10" s="4" t="str">
        <f>""</f>
        <v/>
      </c>
      <c r="N10" s="4" t="s">
        <v>34</v>
      </c>
      <c r="O10" s="3"/>
      <c r="P10" s="3"/>
      <c r="Q10" s="3"/>
      <c r="R10" s="4" t="s">
        <v>35</v>
      </c>
      <c r="S10" s="3"/>
      <c r="T10" s="4" t="str">
        <f>"P10057-1"</f>
        <v>P10057-1</v>
      </c>
      <c r="U10" s="4" t="str">
        <f>"01-128813"</f>
        <v>01-128813</v>
      </c>
      <c r="V10" s="4" t="str">
        <f>"B1003291004"</f>
        <v>B1003291004</v>
      </c>
      <c r="W10" s="4" t="s">
        <v>36</v>
      </c>
      <c r="X10" s="4" t="str">
        <f>"1GD22"</f>
        <v>1GD22</v>
      </c>
      <c r="Y10" s="4" t="str">
        <f>"P10057-1"</f>
        <v>P10057-1</v>
      </c>
      <c r="Z10" s="4" t="str">
        <f>""</f>
        <v/>
      </c>
      <c r="AA10" s="4" t="str">
        <f>""</f>
        <v/>
      </c>
      <c r="AB10" s="5">
        <v>43465</v>
      </c>
      <c r="AC10" s="4">
        <v>0</v>
      </c>
    </row>
    <row r="11" spans="1:29" ht="45" x14ac:dyDescent="0.25">
      <c r="A11" s="4" t="s">
        <v>25</v>
      </c>
      <c r="B11" s="4" t="s">
        <v>26</v>
      </c>
      <c r="C11" s="4" t="s">
        <v>27</v>
      </c>
      <c r="D11" s="4" t="s">
        <v>28</v>
      </c>
      <c r="E11" s="4" t="s">
        <v>26</v>
      </c>
      <c r="F11" s="4" t="s">
        <v>365</v>
      </c>
      <c r="G11" s="4" t="s">
        <v>365</v>
      </c>
      <c r="H11" s="4" t="s">
        <v>366</v>
      </c>
      <c r="I11" s="4" t="s">
        <v>289</v>
      </c>
      <c r="J11" s="4" t="str">
        <f>"5995SB0005558"</f>
        <v>5995SB0005558</v>
      </c>
      <c r="K11" s="4" t="s">
        <v>359</v>
      </c>
      <c r="L11" s="4" t="str">
        <f>""</f>
        <v/>
      </c>
      <c r="M11" s="4" t="str">
        <f>""</f>
        <v/>
      </c>
      <c r="N11" s="4" t="s">
        <v>34</v>
      </c>
      <c r="O11" s="3"/>
      <c r="P11" s="3"/>
      <c r="Q11" s="3"/>
      <c r="R11" s="4" t="s">
        <v>35</v>
      </c>
      <c r="S11" s="3"/>
      <c r="T11" s="4" t="str">
        <f>"99-261-3004-98"</f>
        <v>99-261-3004-98</v>
      </c>
      <c r="U11" s="4" t="str">
        <f>"NCIAX11177788"</f>
        <v>NCIAX11177788</v>
      </c>
      <c r="V11" s="4" t="str">
        <f>""</f>
        <v/>
      </c>
      <c r="W11" s="4" t="s">
        <v>36</v>
      </c>
      <c r="X11" s="4" t="str">
        <f>"02MQ7"</f>
        <v>02MQ7</v>
      </c>
      <c r="Y11" s="4" t="str">
        <f>"99-261-3004-98"</f>
        <v>99-261-3004-98</v>
      </c>
      <c r="Z11" s="4" t="str">
        <f>""</f>
        <v/>
      </c>
      <c r="AA11" s="4" t="str">
        <f>""</f>
        <v/>
      </c>
      <c r="AB11" s="5">
        <v>43465</v>
      </c>
      <c r="AC11" s="4">
        <v>0</v>
      </c>
    </row>
    <row r="12" spans="1:29" ht="45" x14ac:dyDescent="0.25">
      <c r="A12" s="4" t="s">
        <v>25</v>
      </c>
      <c r="B12" s="4" t="s">
        <v>26</v>
      </c>
      <c r="C12" s="4" t="s">
        <v>27</v>
      </c>
      <c r="D12" s="4" t="s">
        <v>28</v>
      </c>
      <c r="E12" s="4" t="s">
        <v>26</v>
      </c>
      <c r="F12" s="4" t="s">
        <v>365</v>
      </c>
      <c r="G12" s="4" t="s">
        <v>365</v>
      </c>
      <c r="H12" s="4" t="s">
        <v>366</v>
      </c>
      <c r="I12" s="4" t="s">
        <v>360</v>
      </c>
      <c r="J12" s="4" t="str">
        <f>"5996SB0001930"</f>
        <v>5996SB0001930</v>
      </c>
      <c r="K12" s="4" t="s">
        <v>144</v>
      </c>
      <c r="L12" s="4" t="str">
        <f>""</f>
        <v/>
      </c>
      <c r="M12" s="4" t="str">
        <f>""</f>
        <v/>
      </c>
      <c r="N12" s="4" t="s">
        <v>34</v>
      </c>
      <c r="O12" s="3"/>
      <c r="P12" s="3"/>
      <c r="Q12" s="3"/>
      <c r="R12" s="4" t="s">
        <v>35</v>
      </c>
      <c r="S12" s="3"/>
      <c r="T12" s="4" t="str">
        <f>"10536-08002"</f>
        <v>10536-08002</v>
      </c>
      <c r="U12" s="4" t="str">
        <f>"01-128809"</f>
        <v>01-128809</v>
      </c>
      <c r="V12" s="4" t="str">
        <f>"1001470"</f>
        <v>1001470</v>
      </c>
      <c r="W12" s="4" t="s">
        <v>36</v>
      </c>
      <c r="X12" s="4" t="str">
        <f>"02MQ7"</f>
        <v>02MQ7</v>
      </c>
      <c r="Y12" s="4" t="str">
        <f>"10536-08002"</f>
        <v>10536-08002</v>
      </c>
      <c r="Z12" s="4" t="str">
        <f>""</f>
        <v/>
      </c>
      <c r="AA12" s="4" t="str">
        <f>""</f>
        <v/>
      </c>
      <c r="AB12" s="5">
        <v>43465</v>
      </c>
      <c r="AC12" s="4">
        <v>0</v>
      </c>
    </row>
    <row r="13" spans="1:29" ht="45" x14ac:dyDescent="0.25">
      <c r="A13" s="4" t="s">
        <v>25</v>
      </c>
      <c r="B13" s="4" t="s">
        <v>26</v>
      </c>
      <c r="C13" s="4" t="s">
        <v>27</v>
      </c>
      <c r="D13" s="4" t="s">
        <v>28</v>
      </c>
      <c r="E13" s="4" t="s">
        <v>26</v>
      </c>
      <c r="F13" s="4" t="s">
        <v>365</v>
      </c>
      <c r="G13" s="4" t="s">
        <v>365</v>
      </c>
      <c r="H13" s="4" t="s">
        <v>366</v>
      </c>
      <c r="I13" s="4" t="s">
        <v>360</v>
      </c>
      <c r="J13" s="4" t="str">
        <f>"5996SB0001930"</f>
        <v>5996SB0001930</v>
      </c>
      <c r="K13" s="4" t="s">
        <v>144</v>
      </c>
      <c r="L13" s="4" t="str">
        <f>""</f>
        <v/>
      </c>
      <c r="M13" s="4" t="str">
        <f>""</f>
        <v/>
      </c>
      <c r="N13" s="4" t="s">
        <v>34</v>
      </c>
      <c r="O13" s="3"/>
      <c r="P13" s="3"/>
      <c r="Q13" s="3"/>
      <c r="R13" s="4" t="s">
        <v>35</v>
      </c>
      <c r="S13" s="3"/>
      <c r="T13" s="4" t="str">
        <f>"10536-08002"</f>
        <v>10536-08002</v>
      </c>
      <c r="U13" s="4" t="str">
        <f>"01-129188"</f>
        <v>01-129188</v>
      </c>
      <c r="V13" s="4" t="str">
        <f>"1001116"</f>
        <v>1001116</v>
      </c>
      <c r="W13" s="4" t="s">
        <v>36</v>
      </c>
      <c r="X13" s="4" t="str">
        <f>"02MQ7"</f>
        <v>02MQ7</v>
      </c>
      <c r="Y13" s="4" t="str">
        <f>"10536-08002"</f>
        <v>10536-08002</v>
      </c>
      <c r="Z13" s="4" t="str">
        <f>""</f>
        <v/>
      </c>
      <c r="AA13" s="4" t="str">
        <f>""</f>
        <v/>
      </c>
      <c r="AB13" s="5">
        <v>43465</v>
      </c>
      <c r="AC13" s="4">
        <v>0</v>
      </c>
    </row>
    <row r="14" spans="1:29" ht="45" x14ac:dyDescent="0.25">
      <c r="A14" s="4" t="s">
        <v>25</v>
      </c>
      <c r="B14" s="4" t="s">
        <v>26</v>
      </c>
      <c r="C14" s="4" t="s">
        <v>27</v>
      </c>
      <c r="D14" s="4" t="s">
        <v>28</v>
      </c>
      <c r="E14" s="4" t="s">
        <v>26</v>
      </c>
      <c r="F14" s="4" t="s">
        <v>365</v>
      </c>
      <c r="G14" s="4" t="s">
        <v>365</v>
      </c>
      <c r="H14" s="4" t="s">
        <v>366</v>
      </c>
      <c r="I14" s="4" t="s">
        <v>199</v>
      </c>
      <c r="J14" s="4" t="str">
        <f>"5996SB0003306"</f>
        <v>5996SB0003306</v>
      </c>
      <c r="K14" s="4" t="s">
        <v>200</v>
      </c>
      <c r="L14" s="4" t="str">
        <f>""</f>
        <v/>
      </c>
      <c r="M14" s="4" t="str">
        <f>""</f>
        <v/>
      </c>
      <c r="N14" s="4" t="s">
        <v>34</v>
      </c>
      <c r="O14" s="3"/>
      <c r="P14" s="3"/>
      <c r="Q14" s="3"/>
      <c r="R14" s="4" t="s">
        <v>35</v>
      </c>
      <c r="S14" s="3"/>
      <c r="T14" s="4" t="str">
        <f>"L207154-1"</f>
        <v>L207154-1</v>
      </c>
      <c r="U14" s="4" t="str">
        <f>"01-128512"</f>
        <v>01-128512</v>
      </c>
      <c r="V14" s="4" t="str">
        <f>"360"</f>
        <v>360</v>
      </c>
      <c r="W14" s="4" t="s">
        <v>36</v>
      </c>
      <c r="X14" s="4" t="str">
        <f>"1GLV3"</f>
        <v>1GLV3</v>
      </c>
      <c r="Y14" s="4" t="str">
        <f>"L-207154-1"</f>
        <v>L-207154-1</v>
      </c>
      <c r="Z14" s="4" t="str">
        <f>""</f>
        <v/>
      </c>
      <c r="AA14" s="4" t="str">
        <f>""</f>
        <v/>
      </c>
      <c r="AB14" s="5">
        <v>43465</v>
      </c>
      <c r="AC14" s="4">
        <v>3343.37</v>
      </c>
    </row>
    <row r="15" spans="1:29" ht="45" x14ac:dyDescent="0.25">
      <c r="A15" s="4" t="s">
        <v>25</v>
      </c>
      <c r="B15" s="4" t="s">
        <v>26</v>
      </c>
      <c r="C15" s="4" t="s">
        <v>27</v>
      </c>
      <c r="D15" s="4" t="s">
        <v>28</v>
      </c>
      <c r="E15" s="4" t="s">
        <v>26</v>
      </c>
      <c r="F15" s="4" t="s">
        <v>365</v>
      </c>
      <c r="G15" s="4" t="s">
        <v>365</v>
      </c>
      <c r="H15" s="4" t="s">
        <v>366</v>
      </c>
      <c r="I15" s="4" t="s">
        <v>199</v>
      </c>
      <c r="J15" s="4" t="str">
        <f>"5996SB0003306"</f>
        <v>5996SB0003306</v>
      </c>
      <c r="K15" s="4" t="s">
        <v>200</v>
      </c>
      <c r="L15" s="4" t="str">
        <f>""</f>
        <v/>
      </c>
      <c r="M15" s="4" t="str">
        <f>""</f>
        <v/>
      </c>
      <c r="N15" s="4" t="s">
        <v>34</v>
      </c>
      <c r="O15" s="3"/>
      <c r="P15" s="3"/>
      <c r="Q15" s="3"/>
      <c r="R15" s="4" t="s">
        <v>35</v>
      </c>
      <c r="S15" s="3"/>
      <c r="T15" s="4" t="str">
        <f>"L207154-1"</f>
        <v>L207154-1</v>
      </c>
      <c r="U15" s="4" t="str">
        <f>"01-128827"</f>
        <v>01-128827</v>
      </c>
      <c r="V15" s="4" t="str">
        <f>"336"</f>
        <v>336</v>
      </c>
      <c r="W15" s="4" t="s">
        <v>36</v>
      </c>
      <c r="X15" s="4" t="str">
        <f>"1GLV3"</f>
        <v>1GLV3</v>
      </c>
      <c r="Y15" s="4" t="str">
        <f>"L-207154-1"</f>
        <v>L-207154-1</v>
      </c>
      <c r="Z15" s="4" t="str">
        <f>""</f>
        <v/>
      </c>
      <c r="AA15" s="4" t="str">
        <f>""</f>
        <v/>
      </c>
      <c r="AB15" s="5">
        <v>43465</v>
      </c>
      <c r="AC15" s="4">
        <v>3343.37</v>
      </c>
    </row>
    <row r="16" spans="1:29" x14ac:dyDescent="0.25">
      <c r="A16" s="262"/>
      <c r="B16" s="264" t="s">
        <v>135</v>
      </c>
      <c r="C16" s="7" t="s">
        <v>136</v>
      </c>
      <c r="D16" s="8">
        <v>44287</v>
      </c>
    </row>
    <row r="17" spans="1:4" ht="12" customHeight="1" x14ac:dyDescent="0.25">
      <c r="A17" s="263"/>
      <c r="B17" s="265"/>
      <c r="C17" s="7" t="s">
        <v>137</v>
      </c>
      <c r="D17" s="9" t="s">
        <v>138</v>
      </c>
    </row>
  </sheetData>
  <mergeCells count="2">
    <mergeCell ref="A16:A17"/>
    <mergeCell ref="B16:B1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64"/>
  <sheetViews>
    <sheetView tabSelected="1" workbookViewId="0">
      <selection activeCell="H14" sqref="H14"/>
    </sheetView>
  </sheetViews>
  <sheetFormatPr defaultColWidth="9.140625" defaultRowHeight="12" x14ac:dyDescent="0.25"/>
  <cols>
    <col min="1" max="1" width="6.5703125" style="10" customWidth="1"/>
    <col min="2" max="3" width="6.5703125" style="253" customWidth="1"/>
    <col min="4" max="6" width="10.85546875" style="253" customWidth="1"/>
    <col min="7" max="7" width="32.5703125" style="10" customWidth="1"/>
    <col min="8" max="8" width="25.85546875" style="253" customWidth="1"/>
    <col min="9" max="10" width="8.42578125" style="253" customWidth="1"/>
    <col min="11" max="11" width="14.42578125" style="253" customWidth="1"/>
    <col min="12" max="12" width="51.140625" style="254" customWidth="1"/>
    <col min="13" max="13" width="12.7109375" style="255" customWidth="1"/>
    <col min="14" max="14" width="18.7109375" style="255" customWidth="1"/>
    <col min="15" max="15" width="17.42578125" style="255" customWidth="1"/>
    <col min="16" max="16" width="15.7109375" style="255" customWidth="1"/>
    <col min="17" max="17" width="18.7109375" style="255" customWidth="1"/>
    <col min="18" max="19" width="6.7109375" style="256" customWidth="1"/>
    <col min="20" max="20" width="8.7109375" style="257" customWidth="1"/>
    <col min="21" max="21" width="22.42578125" style="257" customWidth="1"/>
    <col min="22" max="22" width="13.7109375" style="255" customWidth="1"/>
    <col min="23" max="23" width="17.140625" style="257" customWidth="1"/>
    <col min="24" max="24" width="16" style="257" customWidth="1"/>
    <col min="25" max="25" width="15.7109375" style="257" customWidth="1"/>
    <col min="26" max="26" width="12.7109375" style="258" customWidth="1"/>
    <col min="27" max="27" width="16.42578125" style="259" customWidth="1"/>
    <col min="28" max="28" width="16.7109375" style="260" customWidth="1"/>
    <col min="29" max="29" width="15.7109375" style="255" customWidth="1"/>
    <col min="30" max="30" width="10.7109375" style="255" customWidth="1"/>
    <col min="31" max="31" width="14.7109375" style="261" customWidth="1"/>
    <col min="32" max="32" width="16.7109375" style="258" customWidth="1"/>
    <col min="33" max="33" width="10.7109375" style="258" customWidth="1"/>
    <col min="34" max="16384" width="9.140625" style="10"/>
  </cols>
  <sheetData>
    <row r="1" spans="1:35" ht="18.75" customHeight="1" x14ac:dyDescent="0.25">
      <c r="B1" s="11"/>
      <c r="C1" s="11"/>
      <c r="D1" s="11"/>
      <c r="E1" s="11"/>
      <c r="F1" s="11"/>
      <c r="G1" s="12"/>
      <c r="H1" s="11"/>
      <c r="I1" s="11"/>
      <c r="J1" s="11">
        <v>1</v>
      </c>
      <c r="K1" s="11" t="s">
        <v>367</v>
      </c>
      <c r="L1" s="13" t="s">
        <v>368</v>
      </c>
      <c r="M1" s="14" t="s">
        <v>369</v>
      </c>
      <c r="N1" s="14" t="s">
        <v>370</v>
      </c>
      <c r="O1" s="15" t="s">
        <v>371</v>
      </c>
      <c r="P1" s="15" t="s">
        <v>372</v>
      </c>
      <c r="Q1" s="14" t="s">
        <v>373</v>
      </c>
      <c r="R1" s="16">
        <v>9</v>
      </c>
      <c r="S1" s="17">
        <v>10</v>
      </c>
      <c r="T1" s="17">
        <v>11</v>
      </c>
      <c r="U1" s="17">
        <v>12</v>
      </c>
      <c r="V1" s="14">
        <v>13</v>
      </c>
      <c r="W1" s="17">
        <v>14</v>
      </c>
      <c r="X1" s="17">
        <v>15</v>
      </c>
      <c r="Y1" s="17">
        <v>16</v>
      </c>
      <c r="Z1" s="17">
        <v>17</v>
      </c>
      <c r="AA1" s="17">
        <v>18</v>
      </c>
      <c r="AB1" s="17">
        <v>19</v>
      </c>
      <c r="AC1" s="17">
        <v>20</v>
      </c>
      <c r="AD1" s="17">
        <v>21</v>
      </c>
      <c r="AE1" s="17">
        <v>22</v>
      </c>
      <c r="AF1" s="17">
        <v>23</v>
      </c>
      <c r="AG1" s="17">
        <v>24</v>
      </c>
    </row>
    <row r="2" spans="1:35" ht="54" customHeight="1" x14ac:dyDescent="0.25">
      <c r="A2" s="18" t="s">
        <v>374</v>
      </c>
      <c r="B2" s="19" t="s">
        <v>375</v>
      </c>
      <c r="C2" s="19" t="s">
        <v>376</v>
      </c>
      <c r="D2" s="18" t="s">
        <v>377</v>
      </c>
      <c r="E2" s="18" t="s">
        <v>378</v>
      </c>
      <c r="F2" s="19" t="s">
        <v>379</v>
      </c>
      <c r="G2" s="18" t="s">
        <v>380</v>
      </c>
      <c r="H2" s="19" t="s">
        <v>381</v>
      </c>
      <c r="I2" s="18" t="s">
        <v>382</v>
      </c>
      <c r="J2" s="18" t="s">
        <v>383</v>
      </c>
      <c r="K2" s="18" t="s">
        <v>384</v>
      </c>
      <c r="L2" s="20" t="s">
        <v>385</v>
      </c>
      <c r="M2" s="21" t="s">
        <v>386</v>
      </c>
      <c r="N2" s="21" t="s">
        <v>387</v>
      </c>
      <c r="O2" s="21" t="s">
        <v>388</v>
      </c>
      <c r="P2" s="21" t="s">
        <v>389</v>
      </c>
      <c r="Q2" s="21" t="s">
        <v>390</v>
      </c>
      <c r="R2" s="22" t="s">
        <v>391</v>
      </c>
      <c r="S2" s="22" t="s">
        <v>392</v>
      </c>
      <c r="T2" s="23" t="s">
        <v>393</v>
      </c>
      <c r="U2" s="23" t="s">
        <v>394</v>
      </c>
      <c r="V2" s="21" t="s">
        <v>395</v>
      </c>
      <c r="W2" s="23" t="s">
        <v>396</v>
      </c>
      <c r="X2" s="23" t="s">
        <v>397</v>
      </c>
      <c r="Y2" s="24" t="s">
        <v>398</v>
      </c>
      <c r="Z2" s="24" t="s">
        <v>399</v>
      </c>
      <c r="AA2" s="25" t="s">
        <v>400</v>
      </c>
      <c r="AB2" s="26" t="s">
        <v>401</v>
      </c>
      <c r="AC2" s="27" t="s">
        <v>402</v>
      </c>
      <c r="AD2" s="27" t="s">
        <v>403</v>
      </c>
      <c r="AE2" s="28" t="s">
        <v>404</v>
      </c>
      <c r="AF2" s="24" t="s">
        <v>405</v>
      </c>
      <c r="AG2" s="24" t="s">
        <v>406</v>
      </c>
    </row>
    <row r="3" spans="1:35" s="45" customFormat="1" x14ac:dyDescent="0.25">
      <c r="A3" s="29">
        <v>1</v>
      </c>
      <c r="B3" s="29" t="s">
        <v>407</v>
      </c>
      <c r="C3" s="30" t="s">
        <v>407</v>
      </c>
      <c r="D3" s="30">
        <v>0</v>
      </c>
      <c r="E3" s="30">
        <v>0</v>
      </c>
      <c r="F3" s="30"/>
      <c r="G3" s="31" t="s">
        <v>408</v>
      </c>
      <c r="H3" s="32" t="s">
        <v>409</v>
      </c>
      <c r="I3" s="30" t="s">
        <v>410</v>
      </c>
      <c r="J3" s="30"/>
      <c r="K3" s="30"/>
      <c r="L3" s="33" t="s">
        <v>411</v>
      </c>
      <c r="M3" s="34" t="s">
        <v>412</v>
      </c>
      <c r="N3" s="35" t="s">
        <v>413</v>
      </c>
      <c r="O3" s="36" t="s">
        <v>414</v>
      </c>
      <c r="P3" s="37" t="s">
        <v>415</v>
      </c>
      <c r="Q3" s="35" t="s">
        <v>416</v>
      </c>
      <c r="R3" s="38">
        <v>0</v>
      </c>
      <c r="S3" s="39" t="s">
        <v>34</v>
      </c>
      <c r="T3" s="40"/>
      <c r="U3" s="40"/>
      <c r="V3" s="40"/>
      <c r="W3" s="40"/>
      <c r="X3" s="40"/>
      <c r="Y3" s="40"/>
      <c r="Z3" s="41"/>
      <c r="AA3" s="42"/>
      <c r="AB3" s="43"/>
      <c r="AC3" s="35"/>
      <c r="AD3" s="35"/>
      <c r="AE3" s="44"/>
      <c r="AF3" s="30" t="s">
        <v>417</v>
      </c>
      <c r="AG3" s="39">
        <v>0</v>
      </c>
      <c r="AI3" s="46"/>
    </row>
    <row r="4" spans="1:35" s="45" customFormat="1" ht="24" x14ac:dyDescent="0.25">
      <c r="A4" s="29">
        <v>2</v>
      </c>
      <c r="B4" s="29" t="s">
        <v>407</v>
      </c>
      <c r="C4" s="29"/>
      <c r="D4" s="30">
        <v>0</v>
      </c>
      <c r="E4" s="30">
        <v>0</v>
      </c>
      <c r="F4" s="29"/>
      <c r="G4" s="31" t="s">
        <v>408</v>
      </c>
      <c r="H4" s="32" t="s">
        <v>418</v>
      </c>
      <c r="I4" s="29" t="s">
        <v>410</v>
      </c>
      <c r="J4" s="29">
        <v>4.1100000000000003</v>
      </c>
      <c r="K4" s="29"/>
      <c r="L4" s="33" t="s">
        <v>419</v>
      </c>
      <c r="M4" s="34" t="s">
        <v>412</v>
      </c>
      <c r="N4" s="47" t="s">
        <v>420</v>
      </c>
      <c r="O4" s="36" t="s">
        <v>415</v>
      </c>
      <c r="P4" s="37" t="s">
        <v>415</v>
      </c>
      <c r="Q4" s="47" t="s">
        <v>420</v>
      </c>
      <c r="R4" s="38">
        <v>0</v>
      </c>
      <c r="S4" s="39" t="s">
        <v>34</v>
      </c>
      <c r="T4" s="40"/>
      <c r="U4" s="40"/>
      <c r="V4" s="47"/>
      <c r="W4" s="48" t="s">
        <v>421</v>
      </c>
      <c r="X4" s="49"/>
      <c r="Y4" s="30"/>
      <c r="Z4" s="41" t="s">
        <v>422</v>
      </c>
      <c r="AA4" s="50" t="s">
        <v>423</v>
      </c>
      <c r="AB4" s="43" t="s">
        <v>424</v>
      </c>
      <c r="AC4" s="51"/>
      <c r="AD4" s="51"/>
      <c r="AE4" s="52"/>
      <c r="AF4" s="30" t="s">
        <v>417</v>
      </c>
      <c r="AG4" s="30">
        <v>0</v>
      </c>
      <c r="AI4" s="46"/>
    </row>
    <row r="5" spans="1:35" s="45" customFormat="1" ht="24" x14ac:dyDescent="0.25">
      <c r="A5" s="30">
        <v>3</v>
      </c>
      <c r="B5" s="30"/>
      <c r="C5" s="30" t="s">
        <v>407</v>
      </c>
      <c r="D5" s="30">
        <v>0</v>
      </c>
      <c r="E5" s="30">
        <v>0</v>
      </c>
      <c r="F5" s="30"/>
      <c r="G5" s="31" t="s">
        <v>408</v>
      </c>
      <c r="H5" s="31" t="s">
        <v>418</v>
      </c>
      <c r="I5" s="30" t="s">
        <v>410</v>
      </c>
      <c r="J5" s="30">
        <v>9.11</v>
      </c>
      <c r="K5" s="30"/>
      <c r="L5" s="33" t="s">
        <v>425</v>
      </c>
      <c r="M5" s="34" t="s">
        <v>412</v>
      </c>
      <c r="N5" s="47" t="s">
        <v>426</v>
      </c>
      <c r="O5" s="36" t="s">
        <v>415</v>
      </c>
      <c r="P5" s="37" t="s">
        <v>415</v>
      </c>
      <c r="Q5" s="47" t="s">
        <v>426</v>
      </c>
      <c r="R5" s="38">
        <v>0</v>
      </c>
      <c r="S5" s="39" t="s">
        <v>34</v>
      </c>
      <c r="T5" s="40"/>
      <c r="U5" s="40"/>
      <c r="V5" s="47"/>
      <c r="W5" s="48" t="s">
        <v>421</v>
      </c>
      <c r="X5" s="49"/>
      <c r="Y5" s="30"/>
      <c r="Z5" s="41" t="s">
        <v>422</v>
      </c>
      <c r="AA5" s="50" t="s">
        <v>423</v>
      </c>
      <c r="AB5" s="43" t="s">
        <v>424</v>
      </c>
      <c r="AC5" s="51"/>
      <c r="AD5" s="51"/>
      <c r="AE5" s="52"/>
      <c r="AF5" s="30" t="s">
        <v>417</v>
      </c>
      <c r="AG5" s="30">
        <v>0</v>
      </c>
      <c r="AI5" s="46"/>
    </row>
    <row r="6" spans="1:35" s="45" customFormat="1" x14ac:dyDescent="0.25">
      <c r="A6" s="29">
        <v>4</v>
      </c>
      <c r="B6" s="29" t="s">
        <v>407</v>
      </c>
      <c r="C6" s="30" t="s">
        <v>407</v>
      </c>
      <c r="D6" s="30">
        <v>0</v>
      </c>
      <c r="E6" s="30">
        <v>0</v>
      </c>
      <c r="F6" s="30"/>
      <c r="G6" s="31" t="s">
        <v>408</v>
      </c>
      <c r="H6" s="32" t="s">
        <v>418</v>
      </c>
      <c r="I6" s="29" t="s">
        <v>410</v>
      </c>
      <c r="J6" s="29"/>
      <c r="K6" s="29"/>
      <c r="L6" s="31" t="s">
        <v>427</v>
      </c>
      <c r="M6" s="35" t="s">
        <v>412</v>
      </c>
      <c r="N6" s="35" t="s">
        <v>428</v>
      </c>
      <c r="O6" s="37" t="s">
        <v>429</v>
      </c>
      <c r="P6" s="37" t="s">
        <v>415</v>
      </c>
      <c r="Q6" s="35" t="s">
        <v>428</v>
      </c>
      <c r="R6" s="38">
        <v>0</v>
      </c>
      <c r="S6" s="39" t="s">
        <v>34</v>
      </c>
      <c r="T6" s="40"/>
      <c r="U6" s="40"/>
      <c r="V6" s="47"/>
      <c r="W6" s="30"/>
      <c r="X6" s="30"/>
      <c r="Y6" s="40"/>
      <c r="Z6" s="41"/>
      <c r="AA6" s="42"/>
      <c r="AB6" s="43"/>
      <c r="AC6" s="35"/>
      <c r="AD6" s="35"/>
      <c r="AE6" s="44"/>
      <c r="AF6" s="41" t="s">
        <v>420</v>
      </c>
      <c r="AG6" s="41">
        <v>0</v>
      </c>
      <c r="AI6" s="46"/>
    </row>
    <row r="7" spans="1:35" x14ac:dyDescent="0.25">
      <c r="A7" s="53">
        <v>5</v>
      </c>
      <c r="B7" s="53"/>
      <c r="C7" s="53" t="s">
        <v>407</v>
      </c>
      <c r="D7" s="53">
        <v>2</v>
      </c>
      <c r="E7" s="53">
        <v>2</v>
      </c>
      <c r="F7" s="53" t="s">
        <v>430</v>
      </c>
      <c r="G7" s="54" t="s">
        <v>431</v>
      </c>
      <c r="H7" s="54" t="s">
        <v>432</v>
      </c>
      <c r="I7" s="53" t="s">
        <v>410</v>
      </c>
      <c r="J7" s="53"/>
      <c r="K7" s="53"/>
      <c r="L7" s="55" t="s">
        <v>433</v>
      </c>
      <c r="M7" s="56" t="s">
        <v>412</v>
      </c>
      <c r="N7" s="57" t="s">
        <v>434</v>
      </c>
      <c r="O7" s="58">
        <v>34078</v>
      </c>
      <c r="P7" s="59" t="s">
        <v>415</v>
      </c>
      <c r="Q7" s="57" t="s">
        <v>434</v>
      </c>
      <c r="R7" s="60">
        <v>1</v>
      </c>
      <c r="S7" s="60" t="s">
        <v>34</v>
      </c>
      <c r="T7" s="61" t="s">
        <v>410</v>
      </c>
      <c r="U7" s="61"/>
      <c r="V7" s="56"/>
      <c r="W7" s="58"/>
      <c r="X7" s="61"/>
      <c r="Y7" s="61"/>
      <c r="Z7" s="62"/>
      <c r="AA7" s="63"/>
      <c r="AB7" s="64"/>
      <c r="AC7" s="56"/>
      <c r="AD7" s="56"/>
      <c r="AE7" s="65"/>
      <c r="AF7" s="62" t="s">
        <v>435</v>
      </c>
      <c r="AG7" s="62">
        <v>1</v>
      </c>
      <c r="AI7" s="66"/>
    </row>
    <row r="8" spans="1:35" x14ac:dyDescent="0.25">
      <c r="A8" s="53">
        <v>6</v>
      </c>
      <c r="B8" s="53"/>
      <c r="C8" s="53" t="s">
        <v>407</v>
      </c>
      <c r="D8" s="53">
        <v>2</v>
      </c>
      <c r="E8" s="53">
        <v>2</v>
      </c>
      <c r="F8" s="53" t="s">
        <v>430</v>
      </c>
      <c r="G8" s="54" t="s">
        <v>436</v>
      </c>
      <c r="H8" s="54" t="s">
        <v>432</v>
      </c>
      <c r="I8" s="53" t="s">
        <v>410</v>
      </c>
      <c r="J8" s="53"/>
      <c r="K8" s="53"/>
      <c r="L8" s="55" t="s">
        <v>433</v>
      </c>
      <c r="M8" s="56" t="s">
        <v>412</v>
      </c>
      <c r="N8" s="57" t="s">
        <v>434</v>
      </c>
      <c r="O8" s="58">
        <v>34078</v>
      </c>
      <c r="P8" s="59" t="s">
        <v>415</v>
      </c>
      <c r="Q8" s="57" t="s">
        <v>434</v>
      </c>
      <c r="R8" s="60">
        <v>1</v>
      </c>
      <c r="S8" s="60" t="s">
        <v>34</v>
      </c>
      <c r="T8" s="61" t="s">
        <v>410</v>
      </c>
      <c r="U8" s="61"/>
      <c r="V8" s="56"/>
      <c r="W8" s="58"/>
      <c r="X8" s="61"/>
      <c r="Y8" s="61"/>
      <c r="Z8" s="62"/>
      <c r="AA8" s="63"/>
      <c r="AB8" s="64"/>
      <c r="AC8" s="56"/>
      <c r="AD8" s="56"/>
      <c r="AE8" s="65"/>
      <c r="AF8" s="62" t="s">
        <v>435</v>
      </c>
      <c r="AG8" s="62">
        <v>1</v>
      </c>
      <c r="AI8" s="66"/>
    </row>
    <row r="9" spans="1:35" x14ac:dyDescent="0.25">
      <c r="A9" s="67">
        <v>7</v>
      </c>
      <c r="B9" s="67" t="s">
        <v>407</v>
      </c>
      <c r="C9" s="67"/>
      <c r="D9" s="67">
        <v>0</v>
      </c>
      <c r="E9" s="67">
        <v>0</v>
      </c>
      <c r="F9" s="67" t="s">
        <v>437</v>
      </c>
      <c r="G9" s="54" t="s">
        <v>438</v>
      </c>
      <c r="H9" s="68" t="s">
        <v>432</v>
      </c>
      <c r="I9" s="67" t="s">
        <v>410</v>
      </c>
      <c r="J9" s="67">
        <v>4.8</v>
      </c>
      <c r="K9" s="67"/>
      <c r="L9" s="55" t="s">
        <v>433</v>
      </c>
      <c r="M9" s="56" t="s">
        <v>412</v>
      </c>
      <c r="N9" s="57" t="s">
        <v>439</v>
      </c>
      <c r="O9" s="59" t="s">
        <v>415</v>
      </c>
      <c r="P9" s="59" t="s">
        <v>415</v>
      </c>
      <c r="Q9" s="57" t="s">
        <v>439</v>
      </c>
      <c r="R9" s="60">
        <v>1</v>
      </c>
      <c r="S9" s="60" t="s">
        <v>34</v>
      </c>
      <c r="T9" s="61" t="s">
        <v>410</v>
      </c>
      <c r="U9" s="61"/>
      <c r="V9" s="56"/>
      <c r="W9" s="58" t="s">
        <v>421</v>
      </c>
      <c r="X9" s="61"/>
      <c r="Y9" s="61"/>
      <c r="Z9" s="62" t="s">
        <v>422</v>
      </c>
      <c r="AA9" s="69">
        <v>8209.9937499999996</v>
      </c>
      <c r="AB9" s="64" t="s">
        <v>424</v>
      </c>
      <c r="AC9" s="56"/>
      <c r="AD9" s="56"/>
      <c r="AE9" s="65"/>
      <c r="AF9" s="62" t="s">
        <v>420</v>
      </c>
      <c r="AG9" s="62">
        <v>1</v>
      </c>
      <c r="AI9" s="66"/>
    </row>
    <row r="10" spans="1:35" x14ac:dyDescent="0.25">
      <c r="A10" s="67">
        <v>8</v>
      </c>
      <c r="B10" s="67" t="s">
        <v>407</v>
      </c>
      <c r="C10" s="67"/>
      <c r="D10" s="67">
        <v>0</v>
      </c>
      <c r="E10" s="67">
        <v>0</v>
      </c>
      <c r="F10" s="67" t="s">
        <v>437</v>
      </c>
      <c r="G10" s="54" t="s">
        <v>438</v>
      </c>
      <c r="H10" s="68" t="s">
        <v>432</v>
      </c>
      <c r="I10" s="67" t="s">
        <v>410</v>
      </c>
      <c r="J10" s="67">
        <v>4.8</v>
      </c>
      <c r="K10" s="67"/>
      <c r="L10" s="55" t="s">
        <v>433</v>
      </c>
      <c r="M10" s="56" t="s">
        <v>412</v>
      </c>
      <c r="N10" s="57" t="s">
        <v>439</v>
      </c>
      <c r="O10" s="59" t="s">
        <v>415</v>
      </c>
      <c r="P10" s="59" t="s">
        <v>415</v>
      </c>
      <c r="Q10" s="57" t="s">
        <v>439</v>
      </c>
      <c r="R10" s="60">
        <v>1</v>
      </c>
      <c r="S10" s="60" t="s">
        <v>34</v>
      </c>
      <c r="T10" s="61" t="s">
        <v>410</v>
      </c>
      <c r="U10" s="61"/>
      <c r="V10" s="56"/>
      <c r="W10" s="58" t="s">
        <v>421</v>
      </c>
      <c r="X10" s="61"/>
      <c r="Y10" s="61"/>
      <c r="Z10" s="62" t="s">
        <v>422</v>
      </c>
      <c r="AA10" s="69">
        <v>8209.9937499999996</v>
      </c>
      <c r="AB10" s="64" t="s">
        <v>424</v>
      </c>
      <c r="AC10" s="56"/>
      <c r="AD10" s="56"/>
      <c r="AE10" s="65"/>
      <c r="AF10" s="62" t="s">
        <v>420</v>
      </c>
      <c r="AG10" s="62">
        <v>1</v>
      </c>
      <c r="AI10" s="66"/>
    </row>
    <row r="11" spans="1:35" x14ac:dyDescent="0.25">
      <c r="A11" s="67">
        <v>9</v>
      </c>
      <c r="B11" s="67" t="s">
        <v>407</v>
      </c>
      <c r="C11" s="67"/>
      <c r="D11" s="67">
        <v>0</v>
      </c>
      <c r="E11" s="67">
        <v>0</v>
      </c>
      <c r="F11" s="67" t="s">
        <v>437</v>
      </c>
      <c r="G11" s="54" t="s">
        <v>438</v>
      </c>
      <c r="H11" s="68" t="s">
        <v>432</v>
      </c>
      <c r="I11" s="67" t="s">
        <v>410</v>
      </c>
      <c r="J11" s="67">
        <v>4.8</v>
      </c>
      <c r="K11" s="67"/>
      <c r="L11" s="55" t="s">
        <v>433</v>
      </c>
      <c r="M11" s="56" t="s">
        <v>412</v>
      </c>
      <c r="N11" s="57" t="s">
        <v>439</v>
      </c>
      <c r="O11" s="59" t="s">
        <v>415</v>
      </c>
      <c r="P11" s="59" t="s">
        <v>415</v>
      </c>
      <c r="Q11" s="57" t="s">
        <v>439</v>
      </c>
      <c r="R11" s="60">
        <v>1</v>
      </c>
      <c r="S11" s="60" t="s">
        <v>34</v>
      </c>
      <c r="T11" s="61" t="s">
        <v>410</v>
      </c>
      <c r="U11" s="61"/>
      <c r="V11" s="56"/>
      <c r="W11" s="58" t="s">
        <v>421</v>
      </c>
      <c r="X11" s="61"/>
      <c r="Y11" s="61"/>
      <c r="Z11" s="62" t="s">
        <v>422</v>
      </c>
      <c r="AA11" s="69">
        <v>8209.9937499999996</v>
      </c>
      <c r="AB11" s="64" t="s">
        <v>424</v>
      </c>
      <c r="AC11" s="56"/>
      <c r="AD11" s="56"/>
      <c r="AE11" s="65"/>
      <c r="AF11" s="62" t="s">
        <v>420</v>
      </c>
      <c r="AG11" s="62">
        <v>1</v>
      </c>
      <c r="AI11" s="66"/>
    </row>
    <row r="12" spans="1:35" ht="24" x14ac:dyDescent="0.25">
      <c r="A12" s="67">
        <v>10</v>
      </c>
      <c r="B12" s="67" t="s">
        <v>407</v>
      </c>
      <c r="C12" s="53" t="s">
        <v>407</v>
      </c>
      <c r="D12" s="53">
        <v>1</v>
      </c>
      <c r="E12" s="53">
        <v>1</v>
      </c>
      <c r="F12" s="53" t="s">
        <v>430</v>
      </c>
      <c r="G12" s="54" t="s">
        <v>440</v>
      </c>
      <c r="H12" s="68" t="s">
        <v>432</v>
      </c>
      <c r="I12" s="53" t="s">
        <v>410</v>
      </c>
      <c r="J12" s="53"/>
      <c r="K12" s="53" t="s">
        <v>441</v>
      </c>
      <c r="L12" s="70" t="s">
        <v>442</v>
      </c>
      <c r="M12" s="56" t="s">
        <v>412</v>
      </c>
      <c r="N12" s="56" t="s">
        <v>443</v>
      </c>
      <c r="O12" s="71" t="s">
        <v>444</v>
      </c>
      <c r="P12" s="59" t="s">
        <v>415</v>
      </c>
      <c r="Q12" s="56" t="s">
        <v>443</v>
      </c>
      <c r="R12" s="72">
        <v>1</v>
      </c>
      <c r="S12" s="60" t="s">
        <v>34</v>
      </c>
      <c r="T12" s="56" t="s">
        <v>410</v>
      </c>
      <c r="U12" s="56"/>
      <c r="V12" s="56"/>
      <c r="W12" s="58"/>
      <c r="X12" s="61"/>
      <c r="Y12" s="61"/>
      <c r="Z12" s="62"/>
      <c r="AA12" s="63"/>
      <c r="AB12" s="64"/>
      <c r="AC12" s="56"/>
      <c r="AD12" s="56"/>
      <c r="AE12" s="65"/>
      <c r="AF12" s="62" t="s">
        <v>445</v>
      </c>
      <c r="AG12" s="62">
        <v>1</v>
      </c>
      <c r="AI12" s="66"/>
    </row>
    <row r="13" spans="1:35" x14ac:dyDescent="0.25">
      <c r="A13" s="67">
        <v>11</v>
      </c>
      <c r="B13" s="67" t="s">
        <v>407</v>
      </c>
      <c r="C13" s="53" t="s">
        <v>407</v>
      </c>
      <c r="D13" s="53">
        <v>1</v>
      </c>
      <c r="E13" s="53">
        <v>1</v>
      </c>
      <c r="F13" s="53" t="s">
        <v>430</v>
      </c>
      <c r="G13" s="54" t="s">
        <v>446</v>
      </c>
      <c r="H13" s="68" t="s">
        <v>447</v>
      </c>
      <c r="I13" s="67" t="s">
        <v>410</v>
      </c>
      <c r="J13" s="67"/>
      <c r="K13" s="67" t="s">
        <v>448</v>
      </c>
      <c r="L13" s="70" t="s">
        <v>449</v>
      </c>
      <c r="M13" s="56" t="s">
        <v>412</v>
      </c>
      <c r="N13" s="56" t="s">
        <v>450</v>
      </c>
      <c r="O13" s="71" t="s">
        <v>444</v>
      </c>
      <c r="P13" s="59" t="s">
        <v>415</v>
      </c>
      <c r="Q13" s="56" t="s">
        <v>450</v>
      </c>
      <c r="R13" s="72">
        <v>1</v>
      </c>
      <c r="S13" s="60" t="s">
        <v>34</v>
      </c>
      <c r="T13" s="56" t="s">
        <v>410</v>
      </c>
      <c r="U13" s="56"/>
      <c r="V13" s="56"/>
      <c r="W13" s="58"/>
      <c r="X13" s="61"/>
      <c r="Y13" s="61"/>
      <c r="Z13" s="62"/>
      <c r="AA13" s="63"/>
      <c r="AB13" s="64"/>
      <c r="AC13" s="56"/>
      <c r="AD13" s="56"/>
      <c r="AE13" s="65"/>
      <c r="AF13" s="56" t="s">
        <v>443</v>
      </c>
      <c r="AG13" s="62">
        <v>1</v>
      </c>
      <c r="AI13" s="66"/>
    </row>
    <row r="14" spans="1:35" ht="24" x14ac:dyDescent="0.25">
      <c r="A14" s="67">
        <v>12</v>
      </c>
      <c r="B14" s="67" t="s">
        <v>407</v>
      </c>
      <c r="C14" s="53" t="s">
        <v>407</v>
      </c>
      <c r="D14" s="53">
        <v>1</v>
      </c>
      <c r="E14" s="53">
        <v>1</v>
      </c>
      <c r="F14" s="53" t="s">
        <v>430</v>
      </c>
      <c r="G14" s="54" t="s">
        <v>446</v>
      </c>
      <c r="H14" s="68" t="s">
        <v>451</v>
      </c>
      <c r="I14" s="53" t="s">
        <v>410</v>
      </c>
      <c r="J14" s="53"/>
      <c r="K14" s="53"/>
      <c r="L14" s="70" t="s">
        <v>452</v>
      </c>
      <c r="M14" s="56" t="s">
        <v>412</v>
      </c>
      <c r="N14" s="56" t="s">
        <v>453</v>
      </c>
      <c r="O14" s="59" t="s">
        <v>415</v>
      </c>
      <c r="P14" s="59" t="s">
        <v>415</v>
      </c>
      <c r="Q14" s="56" t="s">
        <v>453</v>
      </c>
      <c r="R14" s="72">
        <v>1</v>
      </c>
      <c r="S14" s="60" t="s">
        <v>34</v>
      </c>
      <c r="T14" s="56" t="s">
        <v>410</v>
      </c>
      <c r="U14" s="56"/>
      <c r="V14" s="56"/>
      <c r="W14" s="58" t="s">
        <v>454</v>
      </c>
      <c r="X14" s="61"/>
      <c r="Y14" s="61"/>
      <c r="Z14" s="62"/>
      <c r="AA14" s="63"/>
      <c r="AB14" s="64"/>
      <c r="AC14" s="56"/>
      <c r="AD14" s="56"/>
      <c r="AE14" s="65"/>
      <c r="AF14" s="62" t="s">
        <v>445</v>
      </c>
      <c r="AG14" s="62">
        <v>1</v>
      </c>
      <c r="AI14" s="66"/>
    </row>
    <row r="15" spans="1:35" ht="24" x14ac:dyDescent="0.25">
      <c r="A15" s="67">
        <v>13</v>
      </c>
      <c r="B15" s="67" t="s">
        <v>407</v>
      </c>
      <c r="C15" s="53" t="s">
        <v>407</v>
      </c>
      <c r="D15" s="53">
        <v>1</v>
      </c>
      <c r="E15" s="53">
        <v>1</v>
      </c>
      <c r="F15" s="53" t="s">
        <v>430</v>
      </c>
      <c r="G15" s="54" t="s">
        <v>446</v>
      </c>
      <c r="H15" s="68" t="s">
        <v>455</v>
      </c>
      <c r="I15" s="67" t="s">
        <v>410</v>
      </c>
      <c r="J15" s="67"/>
      <c r="K15" s="67" t="s">
        <v>456</v>
      </c>
      <c r="L15" s="70" t="s">
        <v>457</v>
      </c>
      <c r="M15" s="73" t="s">
        <v>412</v>
      </c>
      <c r="N15" s="56" t="s">
        <v>458</v>
      </c>
      <c r="O15" s="59" t="s">
        <v>459</v>
      </c>
      <c r="P15" s="59" t="s">
        <v>415</v>
      </c>
      <c r="Q15" s="56" t="s">
        <v>458</v>
      </c>
      <c r="R15" s="72">
        <v>1</v>
      </c>
      <c r="S15" s="60" t="s">
        <v>34</v>
      </c>
      <c r="T15" s="61" t="s">
        <v>410</v>
      </c>
      <c r="U15" s="61"/>
      <c r="V15" s="56"/>
      <c r="W15" s="61"/>
      <c r="X15" s="61"/>
      <c r="Y15" s="61"/>
      <c r="Z15" s="62"/>
      <c r="AA15" s="63"/>
      <c r="AB15" s="64"/>
      <c r="AC15" s="56"/>
      <c r="AD15" s="56"/>
      <c r="AE15" s="65"/>
      <c r="AF15" s="62" t="s">
        <v>445</v>
      </c>
      <c r="AG15" s="62">
        <v>1</v>
      </c>
      <c r="AI15" s="66"/>
    </row>
    <row r="16" spans="1:35" ht="24" x14ac:dyDescent="0.25">
      <c r="A16" s="67">
        <v>14</v>
      </c>
      <c r="B16" s="67" t="s">
        <v>407</v>
      </c>
      <c r="C16" s="53" t="s">
        <v>407</v>
      </c>
      <c r="D16" s="53">
        <v>1</v>
      </c>
      <c r="E16" s="53">
        <v>1</v>
      </c>
      <c r="F16" s="53" t="s">
        <v>430</v>
      </c>
      <c r="G16" s="54" t="s">
        <v>446</v>
      </c>
      <c r="H16" s="68" t="s">
        <v>460</v>
      </c>
      <c r="I16" s="53" t="s">
        <v>410</v>
      </c>
      <c r="J16" s="53"/>
      <c r="K16" s="53" t="s">
        <v>461</v>
      </c>
      <c r="L16" s="70" t="s">
        <v>462</v>
      </c>
      <c r="M16" s="73" t="s">
        <v>412</v>
      </c>
      <c r="N16" s="56" t="s">
        <v>463</v>
      </c>
      <c r="O16" s="59" t="s">
        <v>459</v>
      </c>
      <c r="P16" s="59" t="s">
        <v>415</v>
      </c>
      <c r="Q16" s="56" t="s">
        <v>463</v>
      </c>
      <c r="R16" s="72">
        <v>1</v>
      </c>
      <c r="S16" s="60" t="s">
        <v>34</v>
      </c>
      <c r="T16" s="61" t="s">
        <v>410</v>
      </c>
      <c r="U16" s="61"/>
      <c r="V16" s="56"/>
      <c r="W16" s="61"/>
      <c r="X16" s="61"/>
      <c r="Y16" s="61"/>
      <c r="Z16" s="62"/>
      <c r="AA16" s="63"/>
      <c r="AB16" s="64"/>
      <c r="AC16" s="56"/>
      <c r="AD16" s="56"/>
      <c r="AE16" s="65"/>
      <c r="AF16" s="62" t="s">
        <v>445</v>
      </c>
      <c r="AG16" s="62">
        <v>1</v>
      </c>
      <c r="AI16" s="66"/>
    </row>
    <row r="17" spans="1:35" s="74" customFormat="1" ht="24" x14ac:dyDescent="0.25">
      <c r="A17" s="67">
        <v>15</v>
      </c>
      <c r="B17" s="67" t="s">
        <v>407</v>
      </c>
      <c r="C17" s="53" t="s">
        <v>407</v>
      </c>
      <c r="D17" s="53">
        <v>1</v>
      </c>
      <c r="E17" s="53">
        <v>1</v>
      </c>
      <c r="F17" s="53" t="s">
        <v>430</v>
      </c>
      <c r="G17" s="54" t="s">
        <v>464</v>
      </c>
      <c r="H17" s="68" t="s">
        <v>432</v>
      </c>
      <c r="I17" s="53" t="s">
        <v>410</v>
      </c>
      <c r="J17" s="53"/>
      <c r="K17" s="53" t="s">
        <v>465</v>
      </c>
      <c r="L17" s="70" t="s">
        <v>466</v>
      </c>
      <c r="M17" s="73" t="s">
        <v>412</v>
      </c>
      <c r="N17" s="56" t="s">
        <v>467</v>
      </c>
      <c r="O17" s="59" t="s">
        <v>415</v>
      </c>
      <c r="P17" s="59" t="s">
        <v>415</v>
      </c>
      <c r="Q17" s="56" t="s">
        <v>468</v>
      </c>
      <c r="R17" s="72">
        <v>1</v>
      </c>
      <c r="S17" s="60" t="s">
        <v>34</v>
      </c>
      <c r="T17" s="61" t="s">
        <v>469</v>
      </c>
      <c r="U17" s="61" t="s">
        <v>470</v>
      </c>
      <c r="V17" s="56"/>
      <c r="W17" s="61" t="s">
        <v>471</v>
      </c>
      <c r="X17" s="61"/>
      <c r="Y17" s="61"/>
      <c r="Z17" s="62"/>
      <c r="AA17" s="63"/>
      <c r="AB17" s="64"/>
      <c r="AC17" s="56"/>
      <c r="AD17" s="56"/>
      <c r="AE17" s="65"/>
      <c r="AF17" s="62" t="s">
        <v>445</v>
      </c>
      <c r="AG17" s="62">
        <v>1</v>
      </c>
      <c r="AI17" s="75"/>
    </row>
    <row r="18" spans="1:35" s="74" customFormat="1" ht="24" x14ac:dyDescent="0.25">
      <c r="A18" s="67">
        <v>16</v>
      </c>
      <c r="B18" s="67" t="s">
        <v>407</v>
      </c>
      <c r="C18" s="53" t="s">
        <v>407</v>
      </c>
      <c r="D18" s="53">
        <v>1</v>
      </c>
      <c r="E18" s="53">
        <v>1</v>
      </c>
      <c r="F18" s="53" t="s">
        <v>430</v>
      </c>
      <c r="G18" s="54" t="s">
        <v>464</v>
      </c>
      <c r="H18" s="68" t="s">
        <v>432</v>
      </c>
      <c r="I18" s="53" t="s">
        <v>410</v>
      </c>
      <c r="J18" s="53"/>
      <c r="K18" s="53" t="s">
        <v>472</v>
      </c>
      <c r="L18" s="70" t="s">
        <v>473</v>
      </c>
      <c r="M18" s="73" t="s">
        <v>412</v>
      </c>
      <c r="N18" s="56" t="s">
        <v>474</v>
      </c>
      <c r="O18" s="59" t="s">
        <v>415</v>
      </c>
      <c r="P18" s="59" t="s">
        <v>415</v>
      </c>
      <c r="Q18" s="56" t="s">
        <v>475</v>
      </c>
      <c r="R18" s="72">
        <v>1</v>
      </c>
      <c r="S18" s="60" t="s">
        <v>34</v>
      </c>
      <c r="T18" s="61" t="s">
        <v>469</v>
      </c>
      <c r="U18" s="61" t="s">
        <v>470</v>
      </c>
      <c r="V18" s="56"/>
      <c r="W18" s="61" t="s">
        <v>471</v>
      </c>
      <c r="X18" s="61"/>
      <c r="Y18" s="61"/>
      <c r="Z18" s="62"/>
      <c r="AA18" s="63"/>
      <c r="AB18" s="64"/>
      <c r="AC18" s="56"/>
      <c r="AD18" s="56"/>
      <c r="AE18" s="65"/>
      <c r="AF18" s="62" t="s">
        <v>445</v>
      </c>
      <c r="AG18" s="62">
        <v>1</v>
      </c>
      <c r="AI18" s="75"/>
    </row>
    <row r="19" spans="1:35" ht="24" x14ac:dyDescent="0.25">
      <c r="A19" s="67">
        <v>17</v>
      </c>
      <c r="B19" s="67" t="s">
        <v>407</v>
      </c>
      <c r="C19" s="53" t="s">
        <v>407</v>
      </c>
      <c r="D19" s="53">
        <v>1</v>
      </c>
      <c r="E19" s="53">
        <v>1</v>
      </c>
      <c r="F19" s="53" t="s">
        <v>430</v>
      </c>
      <c r="G19" s="54" t="s">
        <v>476</v>
      </c>
      <c r="H19" s="68" t="s">
        <v>477</v>
      </c>
      <c r="I19" s="67" t="s">
        <v>410</v>
      </c>
      <c r="J19" s="67"/>
      <c r="K19" s="67" t="s">
        <v>478</v>
      </c>
      <c r="L19" s="70" t="s">
        <v>479</v>
      </c>
      <c r="M19" s="56" t="s">
        <v>412</v>
      </c>
      <c r="N19" s="56" t="s">
        <v>480</v>
      </c>
      <c r="O19" s="56" t="s">
        <v>481</v>
      </c>
      <c r="P19" s="59" t="s">
        <v>415</v>
      </c>
      <c r="Q19" s="56" t="s">
        <v>482</v>
      </c>
      <c r="R19" s="72">
        <v>1</v>
      </c>
      <c r="S19" s="60" t="s">
        <v>34</v>
      </c>
      <c r="T19" s="61" t="s">
        <v>410</v>
      </c>
      <c r="U19" s="61"/>
      <c r="V19" s="56" t="s">
        <v>483</v>
      </c>
      <c r="W19" s="58"/>
      <c r="X19" s="58"/>
      <c r="Y19" s="61"/>
      <c r="Z19" s="62"/>
      <c r="AA19" s="63"/>
      <c r="AB19" s="64"/>
      <c r="AC19" s="56"/>
      <c r="AD19" s="56"/>
      <c r="AE19" s="65"/>
      <c r="AF19" s="62" t="s">
        <v>445</v>
      </c>
      <c r="AG19" s="62">
        <v>1</v>
      </c>
      <c r="AI19" s="66"/>
    </row>
    <row r="20" spans="1:35" ht="24" x14ac:dyDescent="0.25">
      <c r="A20" s="67">
        <v>18</v>
      </c>
      <c r="B20" s="67" t="s">
        <v>407</v>
      </c>
      <c r="C20" s="53" t="s">
        <v>407</v>
      </c>
      <c r="D20" s="53">
        <v>1</v>
      </c>
      <c r="E20" s="53">
        <v>1</v>
      </c>
      <c r="F20" s="53" t="s">
        <v>430</v>
      </c>
      <c r="G20" s="54" t="s">
        <v>476</v>
      </c>
      <c r="H20" s="68" t="s">
        <v>484</v>
      </c>
      <c r="I20" s="53" t="s">
        <v>410</v>
      </c>
      <c r="J20" s="53"/>
      <c r="K20" s="53" t="s">
        <v>478</v>
      </c>
      <c r="L20" s="70" t="s">
        <v>479</v>
      </c>
      <c r="M20" s="56" t="s">
        <v>412</v>
      </c>
      <c r="N20" s="56" t="s">
        <v>480</v>
      </c>
      <c r="O20" s="56" t="s">
        <v>481</v>
      </c>
      <c r="P20" s="59" t="s">
        <v>415</v>
      </c>
      <c r="Q20" s="56" t="s">
        <v>482</v>
      </c>
      <c r="R20" s="72">
        <v>1</v>
      </c>
      <c r="S20" s="60" t="s">
        <v>34</v>
      </c>
      <c r="T20" s="61" t="s">
        <v>410</v>
      </c>
      <c r="U20" s="61"/>
      <c r="V20" s="56" t="s">
        <v>483</v>
      </c>
      <c r="W20" s="58"/>
      <c r="X20" s="58"/>
      <c r="Y20" s="61"/>
      <c r="Z20" s="62"/>
      <c r="AA20" s="63"/>
      <c r="AB20" s="64"/>
      <c r="AC20" s="56"/>
      <c r="AD20" s="56"/>
      <c r="AE20" s="65"/>
      <c r="AF20" s="62" t="s">
        <v>445</v>
      </c>
      <c r="AG20" s="62">
        <v>1</v>
      </c>
      <c r="AI20" s="66"/>
    </row>
    <row r="21" spans="1:35" ht="24" x14ac:dyDescent="0.25">
      <c r="A21" s="67">
        <v>19</v>
      </c>
      <c r="B21" s="67" t="s">
        <v>407</v>
      </c>
      <c r="C21" s="53" t="s">
        <v>407</v>
      </c>
      <c r="D21" s="53">
        <v>1</v>
      </c>
      <c r="E21" s="53">
        <v>1</v>
      </c>
      <c r="F21" s="53" t="s">
        <v>430</v>
      </c>
      <c r="G21" s="54" t="s">
        <v>485</v>
      </c>
      <c r="H21" s="68" t="s">
        <v>486</v>
      </c>
      <c r="I21" s="67" t="s">
        <v>410</v>
      </c>
      <c r="J21" s="67"/>
      <c r="K21" s="67"/>
      <c r="L21" s="70" t="s">
        <v>487</v>
      </c>
      <c r="M21" s="73" t="s">
        <v>412</v>
      </c>
      <c r="N21" s="56" t="s">
        <v>488</v>
      </c>
      <c r="O21" s="59" t="s">
        <v>459</v>
      </c>
      <c r="P21" s="59" t="s">
        <v>415</v>
      </c>
      <c r="Q21" s="56" t="s">
        <v>488</v>
      </c>
      <c r="R21" s="72">
        <v>1</v>
      </c>
      <c r="S21" s="60" t="s">
        <v>34</v>
      </c>
      <c r="T21" s="61" t="s">
        <v>410</v>
      </c>
      <c r="U21" s="61"/>
      <c r="V21" s="56"/>
      <c r="W21" s="61"/>
      <c r="X21" s="61"/>
      <c r="Y21" s="61"/>
      <c r="Z21" s="62"/>
      <c r="AA21" s="63"/>
      <c r="AB21" s="64"/>
      <c r="AC21" s="56"/>
      <c r="AD21" s="56"/>
      <c r="AE21" s="65"/>
      <c r="AF21" s="56" t="s">
        <v>445</v>
      </c>
      <c r="AG21" s="62">
        <v>1</v>
      </c>
      <c r="AI21" s="66"/>
    </row>
    <row r="22" spans="1:35" ht="24" x14ac:dyDescent="0.25">
      <c r="A22" s="67">
        <v>20</v>
      </c>
      <c r="B22" s="67" t="s">
        <v>407</v>
      </c>
      <c r="C22" s="53" t="s">
        <v>407</v>
      </c>
      <c r="D22" s="53">
        <v>1</v>
      </c>
      <c r="E22" s="53">
        <v>1</v>
      </c>
      <c r="F22" s="53" t="s">
        <v>430</v>
      </c>
      <c r="G22" s="54" t="s">
        <v>489</v>
      </c>
      <c r="H22" s="68" t="s">
        <v>490</v>
      </c>
      <c r="I22" s="53" t="s">
        <v>410</v>
      </c>
      <c r="J22" s="53"/>
      <c r="K22" s="53"/>
      <c r="L22" s="70" t="s">
        <v>487</v>
      </c>
      <c r="M22" s="73" t="s">
        <v>412</v>
      </c>
      <c r="N22" s="56" t="s">
        <v>488</v>
      </c>
      <c r="O22" s="59" t="s">
        <v>459</v>
      </c>
      <c r="P22" s="59" t="s">
        <v>415</v>
      </c>
      <c r="Q22" s="56" t="s">
        <v>488</v>
      </c>
      <c r="R22" s="72">
        <v>1</v>
      </c>
      <c r="S22" s="60" t="s">
        <v>34</v>
      </c>
      <c r="T22" s="61" t="s">
        <v>410</v>
      </c>
      <c r="U22" s="61"/>
      <c r="V22" s="56"/>
      <c r="W22" s="61"/>
      <c r="X22" s="61"/>
      <c r="Y22" s="61"/>
      <c r="Z22" s="62"/>
      <c r="AA22" s="63"/>
      <c r="AB22" s="64"/>
      <c r="AC22" s="56"/>
      <c r="AD22" s="56"/>
      <c r="AE22" s="65"/>
      <c r="AF22" s="56" t="s">
        <v>445</v>
      </c>
      <c r="AG22" s="62">
        <v>1</v>
      </c>
      <c r="AI22" s="66"/>
    </row>
    <row r="23" spans="1:35" ht="24" x14ac:dyDescent="0.25">
      <c r="A23" s="67">
        <v>21</v>
      </c>
      <c r="B23" s="67" t="s">
        <v>407</v>
      </c>
      <c r="C23" s="53" t="s">
        <v>407</v>
      </c>
      <c r="D23" s="53">
        <v>1</v>
      </c>
      <c r="E23" s="53">
        <v>1</v>
      </c>
      <c r="F23" s="53" t="s">
        <v>430</v>
      </c>
      <c r="G23" s="54" t="s">
        <v>491</v>
      </c>
      <c r="H23" s="68" t="s">
        <v>492</v>
      </c>
      <c r="I23" s="67" t="s">
        <v>410</v>
      </c>
      <c r="J23" s="67"/>
      <c r="K23" s="67"/>
      <c r="L23" s="70" t="s">
        <v>487</v>
      </c>
      <c r="M23" s="73" t="s">
        <v>412</v>
      </c>
      <c r="N23" s="56" t="s">
        <v>488</v>
      </c>
      <c r="O23" s="59" t="s">
        <v>459</v>
      </c>
      <c r="P23" s="59" t="s">
        <v>415</v>
      </c>
      <c r="Q23" s="56" t="s">
        <v>488</v>
      </c>
      <c r="R23" s="72">
        <v>1</v>
      </c>
      <c r="S23" s="60" t="s">
        <v>34</v>
      </c>
      <c r="T23" s="61" t="s">
        <v>410</v>
      </c>
      <c r="U23" s="61"/>
      <c r="V23" s="56"/>
      <c r="W23" s="61"/>
      <c r="X23" s="61"/>
      <c r="Y23" s="61"/>
      <c r="Z23" s="62"/>
      <c r="AA23" s="63"/>
      <c r="AB23" s="64"/>
      <c r="AC23" s="56"/>
      <c r="AD23" s="56"/>
      <c r="AE23" s="65"/>
      <c r="AF23" s="56" t="s">
        <v>445</v>
      </c>
      <c r="AG23" s="62">
        <v>1</v>
      </c>
      <c r="AI23" s="66"/>
    </row>
    <row r="24" spans="1:35" ht="24" x14ac:dyDescent="0.25">
      <c r="A24" s="67">
        <v>22</v>
      </c>
      <c r="B24" s="67" t="s">
        <v>407</v>
      </c>
      <c r="C24" s="53" t="s">
        <v>407</v>
      </c>
      <c r="D24" s="53">
        <v>1</v>
      </c>
      <c r="E24" s="53">
        <v>1</v>
      </c>
      <c r="F24" s="53" t="s">
        <v>430</v>
      </c>
      <c r="G24" s="54" t="s">
        <v>493</v>
      </c>
      <c r="H24" s="68" t="s">
        <v>494</v>
      </c>
      <c r="I24" s="53" t="s">
        <v>410</v>
      </c>
      <c r="J24" s="53"/>
      <c r="K24" s="53" t="s">
        <v>495</v>
      </c>
      <c r="L24" s="70" t="s">
        <v>496</v>
      </c>
      <c r="M24" s="56" t="s">
        <v>412</v>
      </c>
      <c r="N24" s="56" t="s">
        <v>497</v>
      </c>
      <c r="O24" s="56" t="s">
        <v>481</v>
      </c>
      <c r="P24" s="59" t="s">
        <v>415</v>
      </c>
      <c r="Q24" s="56" t="s">
        <v>497</v>
      </c>
      <c r="R24" s="72">
        <v>1</v>
      </c>
      <c r="S24" s="60" t="s">
        <v>34</v>
      </c>
      <c r="T24" s="61" t="s">
        <v>410</v>
      </c>
      <c r="U24" s="61"/>
      <c r="V24" s="56"/>
      <c r="W24" s="58"/>
      <c r="X24" s="61"/>
      <c r="Y24" s="61"/>
      <c r="Z24" s="62"/>
      <c r="AA24" s="63"/>
      <c r="AB24" s="64"/>
      <c r="AC24" s="56"/>
      <c r="AD24" s="56"/>
      <c r="AE24" s="65"/>
      <c r="AF24" s="62" t="s">
        <v>445</v>
      </c>
      <c r="AG24" s="62">
        <v>1</v>
      </c>
      <c r="AI24" s="66"/>
    </row>
    <row r="25" spans="1:35" ht="24" x14ac:dyDescent="0.25">
      <c r="A25" s="67">
        <v>23</v>
      </c>
      <c r="B25" s="67" t="s">
        <v>407</v>
      </c>
      <c r="C25" s="53" t="s">
        <v>407</v>
      </c>
      <c r="D25" s="53">
        <v>1</v>
      </c>
      <c r="E25" s="53">
        <v>1</v>
      </c>
      <c r="F25" s="53" t="s">
        <v>430</v>
      </c>
      <c r="G25" s="54" t="s">
        <v>493</v>
      </c>
      <c r="H25" s="68" t="s">
        <v>498</v>
      </c>
      <c r="I25" s="67" t="s">
        <v>410</v>
      </c>
      <c r="J25" s="67"/>
      <c r="K25" s="67" t="s">
        <v>495</v>
      </c>
      <c r="L25" s="70" t="s">
        <v>496</v>
      </c>
      <c r="M25" s="56" t="s">
        <v>412</v>
      </c>
      <c r="N25" s="56" t="s">
        <v>497</v>
      </c>
      <c r="O25" s="56" t="s">
        <v>481</v>
      </c>
      <c r="P25" s="59" t="s">
        <v>415</v>
      </c>
      <c r="Q25" s="56" t="s">
        <v>497</v>
      </c>
      <c r="R25" s="72">
        <v>1</v>
      </c>
      <c r="S25" s="60" t="s">
        <v>34</v>
      </c>
      <c r="T25" s="61" t="s">
        <v>410</v>
      </c>
      <c r="U25" s="61"/>
      <c r="V25" s="56"/>
      <c r="W25" s="58"/>
      <c r="X25" s="61"/>
      <c r="Y25" s="61"/>
      <c r="Z25" s="62"/>
      <c r="AA25" s="63"/>
      <c r="AB25" s="64"/>
      <c r="AC25" s="56"/>
      <c r="AD25" s="56"/>
      <c r="AE25" s="65"/>
      <c r="AF25" s="62" t="s">
        <v>445</v>
      </c>
      <c r="AG25" s="62">
        <v>1</v>
      </c>
      <c r="AI25" s="66"/>
    </row>
    <row r="26" spans="1:35" ht="24" x14ac:dyDescent="0.25">
      <c r="A26" s="67">
        <v>24</v>
      </c>
      <c r="B26" s="67" t="s">
        <v>407</v>
      </c>
      <c r="C26" s="53" t="s">
        <v>407</v>
      </c>
      <c r="D26" s="53">
        <v>1</v>
      </c>
      <c r="E26" s="53">
        <v>1</v>
      </c>
      <c r="F26" s="53" t="s">
        <v>430</v>
      </c>
      <c r="G26" s="54" t="s">
        <v>493</v>
      </c>
      <c r="H26" s="68" t="s">
        <v>499</v>
      </c>
      <c r="I26" s="53" t="s">
        <v>410</v>
      </c>
      <c r="J26" s="53"/>
      <c r="K26" s="53"/>
      <c r="L26" s="70" t="s">
        <v>500</v>
      </c>
      <c r="M26" s="56" t="s">
        <v>412</v>
      </c>
      <c r="N26" s="56" t="s">
        <v>501</v>
      </c>
      <c r="O26" s="59" t="s">
        <v>459</v>
      </c>
      <c r="P26" s="59" t="s">
        <v>415</v>
      </c>
      <c r="Q26" s="56" t="s">
        <v>501</v>
      </c>
      <c r="R26" s="72">
        <v>1</v>
      </c>
      <c r="S26" s="60" t="s">
        <v>34</v>
      </c>
      <c r="T26" s="61" t="s">
        <v>410</v>
      </c>
      <c r="U26" s="61"/>
      <c r="V26" s="56"/>
      <c r="W26" s="58"/>
      <c r="X26" s="61"/>
      <c r="Y26" s="61"/>
      <c r="Z26" s="62"/>
      <c r="AA26" s="63"/>
      <c r="AB26" s="64"/>
      <c r="AC26" s="56"/>
      <c r="AD26" s="56"/>
      <c r="AE26" s="65"/>
      <c r="AF26" s="62" t="s">
        <v>445</v>
      </c>
      <c r="AG26" s="62">
        <v>1</v>
      </c>
      <c r="AI26" s="66"/>
    </row>
    <row r="27" spans="1:35" s="45" customFormat="1" ht="24" x14ac:dyDescent="0.25">
      <c r="A27" s="29">
        <v>25</v>
      </c>
      <c r="B27" s="29" t="s">
        <v>407</v>
      </c>
      <c r="C27" s="29" t="s">
        <v>407</v>
      </c>
      <c r="D27" s="30">
        <v>0</v>
      </c>
      <c r="E27" s="30">
        <v>0</v>
      </c>
      <c r="F27" s="30"/>
      <c r="G27" s="31" t="s">
        <v>408</v>
      </c>
      <c r="H27" s="32" t="s">
        <v>502</v>
      </c>
      <c r="I27" s="29" t="s">
        <v>410</v>
      </c>
      <c r="J27" s="29"/>
      <c r="K27" s="29" t="s">
        <v>503</v>
      </c>
      <c r="L27" s="76" t="s">
        <v>504</v>
      </c>
      <c r="M27" s="35" t="s">
        <v>412</v>
      </c>
      <c r="N27" s="36">
        <v>722200250</v>
      </c>
      <c r="O27" s="36" t="s">
        <v>505</v>
      </c>
      <c r="P27" s="37" t="s">
        <v>415</v>
      </c>
      <c r="Q27" s="77">
        <v>722200250</v>
      </c>
      <c r="R27" s="38">
        <v>0</v>
      </c>
      <c r="S27" s="39" t="s">
        <v>34</v>
      </c>
      <c r="T27" s="30"/>
      <c r="U27" s="30"/>
      <c r="V27" s="47"/>
      <c r="W27" s="30"/>
      <c r="X27" s="30"/>
      <c r="Y27" s="30"/>
      <c r="Z27" s="41"/>
      <c r="AA27" s="42"/>
      <c r="AB27" s="43"/>
      <c r="AC27" s="30"/>
      <c r="AD27" s="30"/>
      <c r="AE27" s="30"/>
      <c r="AF27" s="41" t="s">
        <v>445</v>
      </c>
      <c r="AG27" s="41">
        <v>0</v>
      </c>
      <c r="AI27" s="46"/>
    </row>
    <row r="28" spans="1:35" s="45" customFormat="1" ht="24" x14ac:dyDescent="0.25">
      <c r="A28" s="29">
        <v>26</v>
      </c>
      <c r="B28" s="29" t="s">
        <v>407</v>
      </c>
      <c r="C28" s="29" t="s">
        <v>407</v>
      </c>
      <c r="D28" s="30">
        <v>0</v>
      </c>
      <c r="E28" s="30">
        <v>0</v>
      </c>
      <c r="F28" s="30"/>
      <c r="G28" s="31" t="s">
        <v>408</v>
      </c>
      <c r="H28" s="32" t="s">
        <v>502</v>
      </c>
      <c r="I28" s="30" t="s">
        <v>410</v>
      </c>
      <c r="J28" s="30"/>
      <c r="K28" s="30" t="s">
        <v>503</v>
      </c>
      <c r="L28" s="76" t="s">
        <v>504</v>
      </c>
      <c r="M28" s="35" t="s">
        <v>412</v>
      </c>
      <c r="N28" s="36">
        <v>722200250</v>
      </c>
      <c r="O28" s="36" t="s">
        <v>505</v>
      </c>
      <c r="P28" s="37" t="s">
        <v>415</v>
      </c>
      <c r="Q28" s="77">
        <v>722200250</v>
      </c>
      <c r="R28" s="38">
        <v>0</v>
      </c>
      <c r="S28" s="39" t="s">
        <v>34</v>
      </c>
      <c r="T28" s="30"/>
      <c r="U28" s="30"/>
      <c r="V28" s="47"/>
      <c r="W28" s="30"/>
      <c r="X28" s="30"/>
      <c r="Y28" s="30"/>
      <c r="Z28" s="41"/>
      <c r="AA28" s="42"/>
      <c r="AB28" s="43"/>
      <c r="AC28" s="30"/>
      <c r="AD28" s="30"/>
      <c r="AE28" s="30"/>
      <c r="AF28" s="41" t="s">
        <v>445</v>
      </c>
      <c r="AG28" s="41">
        <v>0</v>
      </c>
      <c r="AI28" s="46"/>
    </row>
    <row r="29" spans="1:35" s="45" customFormat="1" ht="24" x14ac:dyDescent="0.25">
      <c r="A29" s="29">
        <v>27</v>
      </c>
      <c r="B29" s="29" t="s">
        <v>407</v>
      </c>
      <c r="C29" s="29" t="s">
        <v>407</v>
      </c>
      <c r="D29" s="30">
        <v>0</v>
      </c>
      <c r="E29" s="30">
        <v>0</v>
      </c>
      <c r="F29" s="30"/>
      <c r="G29" s="31" t="s">
        <v>408</v>
      </c>
      <c r="H29" s="32" t="s">
        <v>502</v>
      </c>
      <c r="I29" s="29" t="s">
        <v>410</v>
      </c>
      <c r="J29" s="29"/>
      <c r="K29" s="29" t="s">
        <v>503</v>
      </c>
      <c r="L29" s="76" t="s">
        <v>504</v>
      </c>
      <c r="M29" s="35" t="s">
        <v>412</v>
      </c>
      <c r="N29" s="36">
        <v>722200250</v>
      </c>
      <c r="O29" s="36" t="s">
        <v>505</v>
      </c>
      <c r="P29" s="37" t="s">
        <v>415</v>
      </c>
      <c r="Q29" s="77">
        <v>722200250</v>
      </c>
      <c r="R29" s="38">
        <v>0</v>
      </c>
      <c r="S29" s="39" t="s">
        <v>34</v>
      </c>
      <c r="T29" s="30"/>
      <c r="U29" s="30"/>
      <c r="V29" s="47"/>
      <c r="W29" s="30"/>
      <c r="X29" s="30"/>
      <c r="Y29" s="30"/>
      <c r="Z29" s="41"/>
      <c r="AA29" s="42"/>
      <c r="AB29" s="43"/>
      <c r="AC29" s="30"/>
      <c r="AD29" s="30"/>
      <c r="AE29" s="30"/>
      <c r="AF29" s="41" t="s">
        <v>445</v>
      </c>
      <c r="AG29" s="41">
        <v>0</v>
      </c>
      <c r="AI29" s="46"/>
    </row>
    <row r="30" spans="1:35" s="45" customFormat="1" ht="24" x14ac:dyDescent="0.25">
      <c r="A30" s="29">
        <v>28</v>
      </c>
      <c r="B30" s="29" t="s">
        <v>407</v>
      </c>
      <c r="C30" s="30" t="s">
        <v>407</v>
      </c>
      <c r="D30" s="30">
        <v>0</v>
      </c>
      <c r="E30" s="30">
        <v>0</v>
      </c>
      <c r="F30" s="30"/>
      <c r="G30" s="31" t="s">
        <v>408</v>
      </c>
      <c r="H30" s="32" t="s">
        <v>502</v>
      </c>
      <c r="I30" s="30" t="s">
        <v>410</v>
      </c>
      <c r="J30" s="30"/>
      <c r="K30" s="30" t="s">
        <v>506</v>
      </c>
      <c r="L30" s="76" t="s">
        <v>507</v>
      </c>
      <c r="M30" s="35" t="s">
        <v>412</v>
      </c>
      <c r="N30" s="36" t="s">
        <v>508</v>
      </c>
      <c r="O30" s="36" t="s">
        <v>505</v>
      </c>
      <c r="P30" s="37" t="s">
        <v>415</v>
      </c>
      <c r="Q30" s="36" t="s">
        <v>508</v>
      </c>
      <c r="R30" s="38">
        <v>0</v>
      </c>
      <c r="S30" s="39" t="s">
        <v>34</v>
      </c>
      <c r="T30" s="30"/>
      <c r="U30" s="30"/>
      <c r="V30" s="47"/>
      <c r="W30" s="30"/>
      <c r="X30" s="30"/>
      <c r="Y30" s="30"/>
      <c r="Z30" s="41"/>
      <c r="AA30" s="42"/>
      <c r="AB30" s="43"/>
      <c r="AC30" s="30"/>
      <c r="AD30" s="30"/>
      <c r="AE30" s="30"/>
      <c r="AF30" s="41" t="s">
        <v>445</v>
      </c>
      <c r="AG30" s="41">
        <v>0</v>
      </c>
      <c r="AI30" s="46"/>
    </row>
    <row r="31" spans="1:35" s="45" customFormat="1" ht="24" x14ac:dyDescent="0.25">
      <c r="A31" s="29">
        <v>29</v>
      </c>
      <c r="B31" s="29" t="s">
        <v>407</v>
      </c>
      <c r="C31" s="30" t="s">
        <v>407</v>
      </c>
      <c r="D31" s="30">
        <v>0</v>
      </c>
      <c r="E31" s="30">
        <v>0</v>
      </c>
      <c r="F31" s="30"/>
      <c r="G31" s="31" t="s">
        <v>408</v>
      </c>
      <c r="H31" s="32" t="s">
        <v>502</v>
      </c>
      <c r="I31" s="29" t="s">
        <v>410</v>
      </c>
      <c r="J31" s="29"/>
      <c r="K31" s="29" t="s">
        <v>506</v>
      </c>
      <c r="L31" s="76" t="s">
        <v>507</v>
      </c>
      <c r="M31" s="35" t="s">
        <v>412</v>
      </c>
      <c r="N31" s="36" t="s">
        <v>508</v>
      </c>
      <c r="O31" s="36" t="s">
        <v>505</v>
      </c>
      <c r="P31" s="37" t="s">
        <v>415</v>
      </c>
      <c r="Q31" s="36" t="s">
        <v>508</v>
      </c>
      <c r="R31" s="38">
        <v>0</v>
      </c>
      <c r="S31" s="39" t="s">
        <v>34</v>
      </c>
      <c r="T31" s="30"/>
      <c r="U31" s="30"/>
      <c r="V31" s="47"/>
      <c r="W31" s="30"/>
      <c r="X31" s="30"/>
      <c r="Y31" s="30"/>
      <c r="Z31" s="41"/>
      <c r="AA31" s="42"/>
      <c r="AB31" s="43"/>
      <c r="AC31" s="30"/>
      <c r="AD31" s="30"/>
      <c r="AE31" s="30"/>
      <c r="AF31" s="41" t="s">
        <v>445</v>
      </c>
      <c r="AG31" s="41">
        <v>0</v>
      </c>
      <c r="AI31" s="46"/>
    </row>
    <row r="32" spans="1:35" s="45" customFormat="1" ht="24" x14ac:dyDescent="0.25">
      <c r="A32" s="29">
        <v>30</v>
      </c>
      <c r="B32" s="29" t="s">
        <v>407</v>
      </c>
      <c r="C32" s="30" t="s">
        <v>407</v>
      </c>
      <c r="D32" s="30">
        <v>0</v>
      </c>
      <c r="E32" s="30">
        <v>0</v>
      </c>
      <c r="F32" s="30"/>
      <c r="G32" s="31" t="s">
        <v>408</v>
      </c>
      <c r="H32" s="32" t="s">
        <v>502</v>
      </c>
      <c r="I32" s="30" t="s">
        <v>410</v>
      </c>
      <c r="J32" s="30"/>
      <c r="K32" s="30" t="s">
        <v>506</v>
      </c>
      <c r="L32" s="76" t="s">
        <v>507</v>
      </c>
      <c r="M32" s="35" t="s">
        <v>412</v>
      </c>
      <c r="N32" s="36" t="s">
        <v>508</v>
      </c>
      <c r="O32" s="36" t="s">
        <v>505</v>
      </c>
      <c r="P32" s="37" t="s">
        <v>415</v>
      </c>
      <c r="Q32" s="36" t="s">
        <v>508</v>
      </c>
      <c r="R32" s="38">
        <v>0</v>
      </c>
      <c r="S32" s="39" t="s">
        <v>34</v>
      </c>
      <c r="T32" s="30"/>
      <c r="U32" s="30"/>
      <c r="V32" s="47"/>
      <c r="W32" s="30"/>
      <c r="X32" s="30"/>
      <c r="Y32" s="30"/>
      <c r="Z32" s="41"/>
      <c r="AA32" s="42"/>
      <c r="AB32" s="43"/>
      <c r="AC32" s="30"/>
      <c r="AD32" s="30"/>
      <c r="AE32" s="30"/>
      <c r="AF32" s="41" t="s">
        <v>445</v>
      </c>
      <c r="AG32" s="41">
        <v>0</v>
      </c>
      <c r="AI32" s="46"/>
    </row>
    <row r="33" spans="1:35" ht="24" x14ac:dyDescent="0.25">
      <c r="A33" s="78">
        <v>31</v>
      </c>
      <c r="B33" s="78" t="s">
        <v>407</v>
      </c>
      <c r="C33" s="79" t="s">
        <v>407</v>
      </c>
      <c r="D33" s="79">
        <v>1</v>
      </c>
      <c r="E33" s="79">
        <v>1</v>
      </c>
      <c r="F33" s="79" t="s">
        <v>430</v>
      </c>
      <c r="G33" s="80" t="s">
        <v>509</v>
      </c>
      <c r="H33" s="81" t="s">
        <v>510</v>
      </c>
      <c r="I33" s="78" t="s">
        <v>410</v>
      </c>
      <c r="J33" s="78"/>
      <c r="K33" s="78" t="s">
        <v>511</v>
      </c>
      <c r="L33" s="82" t="s">
        <v>512</v>
      </c>
      <c r="M33" s="83" t="s">
        <v>412</v>
      </c>
      <c r="N33" s="84" t="s">
        <v>513</v>
      </c>
      <c r="O33" s="84" t="s">
        <v>514</v>
      </c>
      <c r="P33" s="85" t="s">
        <v>415</v>
      </c>
      <c r="Q33" s="86" t="s">
        <v>513</v>
      </c>
      <c r="R33" s="87">
        <v>1</v>
      </c>
      <c r="S33" s="88" t="s">
        <v>34</v>
      </c>
      <c r="T33" s="79" t="s">
        <v>410</v>
      </c>
      <c r="U33" s="79"/>
      <c r="V33" s="89"/>
      <c r="W33" s="79"/>
      <c r="X33" s="79"/>
      <c r="Y33" s="79"/>
      <c r="Z33" s="90"/>
      <c r="AA33" s="91"/>
      <c r="AB33" s="92"/>
      <c r="AC33" s="79"/>
      <c r="AD33" s="79"/>
      <c r="AE33" s="79"/>
      <c r="AF33" s="90" t="s">
        <v>445</v>
      </c>
      <c r="AG33" s="90">
        <v>1</v>
      </c>
      <c r="AI33" s="66"/>
    </row>
    <row r="34" spans="1:35" s="45" customFormat="1" ht="24" x14ac:dyDescent="0.25">
      <c r="A34" s="29">
        <v>32</v>
      </c>
      <c r="B34" s="29" t="s">
        <v>407</v>
      </c>
      <c r="C34" s="30" t="s">
        <v>407</v>
      </c>
      <c r="D34" s="30">
        <v>0</v>
      </c>
      <c r="E34" s="30">
        <v>0</v>
      </c>
      <c r="F34" s="30"/>
      <c r="G34" s="31" t="s">
        <v>408</v>
      </c>
      <c r="H34" s="32" t="s">
        <v>515</v>
      </c>
      <c r="I34" s="30" t="s">
        <v>469</v>
      </c>
      <c r="J34" s="30"/>
      <c r="K34" s="30"/>
      <c r="L34" s="93" t="s">
        <v>516</v>
      </c>
      <c r="M34" s="35"/>
      <c r="N34" s="36" t="s">
        <v>517</v>
      </c>
      <c r="O34" s="36" t="s">
        <v>415</v>
      </c>
      <c r="P34" s="37" t="s">
        <v>415</v>
      </c>
      <c r="Q34" s="77" t="s">
        <v>517</v>
      </c>
      <c r="R34" s="38">
        <v>0</v>
      </c>
      <c r="S34" s="39" t="s">
        <v>34</v>
      </c>
      <c r="T34" s="30"/>
      <c r="U34" s="30"/>
      <c r="V34" s="47"/>
      <c r="W34" s="30"/>
      <c r="X34" s="30"/>
      <c r="Y34" s="30"/>
      <c r="Z34" s="41"/>
      <c r="AA34" s="42">
        <v>1100</v>
      </c>
      <c r="AB34" s="43"/>
      <c r="AC34" s="30"/>
      <c r="AD34" s="30"/>
      <c r="AE34" s="30"/>
      <c r="AF34" s="41" t="s">
        <v>445</v>
      </c>
      <c r="AG34" s="41">
        <v>0</v>
      </c>
      <c r="AI34" s="46"/>
    </row>
    <row r="35" spans="1:35" ht="24" x14ac:dyDescent="0.25">
      <c r="A35" s="78">
        <v>33</v>
      </c>
      <c r="B35" s="78" t="s">
        <v>407</v>
      </c>
      <c r="C35" s="79" t="s">
        <v>407</v>
      </c>
      <c r="D35" s="79">
        <v>1</v>
      </c>
      <c r="E35" s="79">
        <v>1</v>
      </c>
      <c r="F35" s="79" t="s">
        <v>430</v>
      </c>
      <c r="G35" s="80" t="s">
        <v>518</v>
      </c>
      <c r="H35" s="81" t="s">
        <v>519</v>
      </c>
      <c r="I35" s="78" t="s">
        <v>469</v>
      </c>
      <c r="J35" s="78"/>
      <c r="K35" s="78"/>
      <c r="L35" s="82" t="s">
        <v>520</v>
      </c>
      <c r="M35" s="83"/>
      <c r="N35" s="84" t="s">
        <v>521</v>
      </c>
      <c r="O35" s="84" t="s">
        <v>415</v>
      </c>
      <c r="P35" s="85" t="s">
        <v>415</v>
      </c>
      <c r="Q35" s="86" t="s">
        <v>521</v>
      </c>
      <c r="R35" s="87">
        <v>1</v>
      </c>
      <c r="S35" s="88" t="s">
        <v>34</v>
      </c>
      <c r="T35" s="79"/>
      <c r="U35" s="79"/>
      <c r="V35" s="89"/>
      <c r="W35" s="79"/>
      <c r="X35" s="79"/>
      <c r="Y35" s="79"/>
      <c r="Z35" s="90"/>
      <c r="AA35" s="91"/>
      <c r="AB35" s="92"/>
      <c r="AC35" s="79"/>
      <c r="AD35" s="79"/>
      <c r="AE35" s="79"/>
      <c r="AF35" s="90" t="s">
        <v>445</v>
      </c>
      <c r="AG35" s="90">
        <v>1</v>
      </c>
      <c r="AI35" s="66"/>
    </row>
    <row r="36" spans="1:35" ht="24" x14ac:dyDescent="0.25">
      <c r="A36" s="78">
        <v>34</v>
      </c>
      <c r="B36" s="78" t="s">
        <v>407</v>
      </c>
      <c r="C36" s="79" t="s">
        <v>407</v>
      </c>
      <c r="D36" s="79">
        <v>1</v>
      </c>
      <c r="E36" s="79">
        <v>1</v>
      </c>
      <c r="F36" s="79" t="s">
        <v>430</v>
      </c>
      <c r="G36" s="80" t="s">
        <v>518</v>
      </c>
      <c r="H36" s="81" t="s">
        <v>522</v>
      </c>
      <c r="I36" s="79" t="s">
        <v>469</v>
      </c>
      <c r="J36" s="79"/>
      <c r="K36" s="79"/>
      <c r="L36" s="82" t="s">
        <v>523</v>
      </c>
      <c r="M36" s="83"/>
      <c r="N36" s="84" t="s">
        <v>524</v>
      </c>
      <c r="O36" s="84" t="s">
        <v>415</v>
      </c>
      <c r="P36" s="85" t="s">
        <v>415</v>
      </c>
      <c r="Q36" s="86" t="s">
        <v>524</v>
      </c>
      <c r="R36" s="87">
        <v>1</v>
      </c>
      <c r="S36" s="88" t="s">
        <v>34</v>
      </c>
      <c r="T36" s="79"/>
      <c r="U36" s="79"/>
      <c r="V36" s="89"/>
      <c r="W36" s="79"/>
      <c r="X36" s="79"/>
      <c r="Y36" s="79"/>
      <c r="Z36" s="90"/>
      <c r="AA36" s="91"/>
      <c r="AB36" s="92"/>
      <c r="AC36" s="79"/>
      <c r="AD36" s="79"/>
      <c r="AE36" s="79"/>
      <c r="AF36" s="90" t="s">
        <v>445</v>
      </c>
      <c r="AG36" s="90">
        <v>1</v>
      </c>
      <c r="AI36" s="66"/>
    </row>
    <row r="37" spans="1:35" ht="24" x14ac:dyDescent="0.25">
      <c r="A37" s="78">
        <v>35</v>
      </c>
      <c r="B37" s="78" t="s">
        <v>407</v>
      </c>
      <c r="C37" s="78"/>
      <c r="D37" s="78">
        <v>0</v>
      </c>
      <c r="E37" s="78">
        <v>0</v>
      </c>
      <c r="F37" s="78" t="s">
        <v>430</v>
      </c>
      <c r="G37" s="80" t="s">
        <v>438</v>
      </c>
      <c r="H37" s="81" t="s">
        <v>525</v>
      </c>
      <c r="I37" s="78" t="s">
        <v>410</v>
      </c>
      <c r="J37" s="78">
        <v>4.1100000000000003</v>
      </c>
      <c r="K37" s="78"/>
      <c r="L37" s="94" t="s">
        <v>526</v>
      </c>
      <c r="M37" s="83" t="s">
        <v>412</v>
      </c>
      <c r="N37" s="95" t="s">
        <v>527</v>
      </c>
      <c r="O37" s="96">
        <v>34078</v>
      </c>
      <c r="P37" s="85" t="s">
        <v>415</v>
      </c>
      <c r="Q37" s="97" t="s">
        <v>527</v>
      </c>
      <c r="R37" s="88">
        <v>1</v>
      </c>
      <c r="S37" s="88" t="s">
        <v>34</v>
      </c>
      <c r="T37" s="98" t="s">
        <v>410</v>
      </c>
      <c r="U37" s="98"/>
      <c r="V37" s="83"/>
      <c r="W37" s="96"/>
      <c r="X37" s="98"/>
      <c r="Y37" s="98"/>
      <c r="Z37" s="90" t="s">
        <v>422</v>
      </c>
      <c r="AA37" s="99">
        <v>1320.1999999999998</v>
      </c>
      <c r="AB37" s="92" t="s">
        <v>424</v>
      </c>
      <c r="AC37" s="83"/>
      <c r="AD37" s="83"/>
      <c r="AE37" s="100"/>
      <c r="AF37" s="90" t="s">
        <v>445</v>
      </c>
      <c r="AG37" s="90">
        <v>1</v>
      </c>
      <c r="AI37" s="66"/>
    </row>
    <row r="38" spans="1:35" ht="21" customHeight="1" x14ac:dyDescent="0.25">
      <c r="A38" s="78">
        <v>36</v>
      </c>
      <c r="B38" s="78" t="s">
        <v>407</v>
      </c>
      <c r="C38" s="78"/>
      <c r="D38" s="78">
        <v>0</v>
      </c>
      <c r="E38" s="78">
        <v>0</v>
      </c>
      <c r="F38" s="78" t="s">
        <v>430</v>
      </c>
      <c r="G38" s="80" t="s">
        <v>438</v>
      </c>
      <c r="H38" s="81" t="s">
        <v>528</v>
      </c>
      <c r="I38" s="79" t="s">
        <v>410</v>
      </c>
      <c r="J38" s="79">
        <v>4.1100000000000003</v>
      </c>
      <c r="K38" s="79"/>
      <c r="L38" s="94" t="s">
        <v>526</v>
      </c>
      <c r="M38" s="83" t="s">
        <v>412</v>
      </c>
      <c r="N38" s="95" t="s">
        <v>527</v>
      </c>
      <c r="O38" s="96">
        <v>34078</v>
      </c>
      <c r="P38" s="85" t="s">
        <v>415</v>
      </c>
      <c r="Q38" s="97" t="s">
        <v>527</v>
      </c>
      <c r="R38" s="88">
        <v>1</v>
      </c>
      <c r="S38" s="88" t="s">
        <v>34</v>
      </c>
      <c r="T38" s="98" t="s">
        <v>410</v>
      </c>
      <c r="U38" s="98"/>
      <c r="V38" s="83"/>
      <c r="W38" s="96"/>
      <c r="X38" s="98"/>
      <c r="Y38" s="98"/>
      <c r="Z38" s="90" t="s">
        <v>422</v>
      </c>
      <c r="AA38" s="99">
        <v>1320.1999999999998</v>
      </c>
      <c r="AB38" s="92" t="s">
        <v>424</v>
      </c>
      <c r="AC38" s="83"/>
      <c r="AD38" s="83"/>
      <c r="AE38" s="100"/>
      <c r="AF38" s="90" t="s">
        <v>445</v>
      </c>
      <c r="AG38" s="90">
        <v>1</v>
      </c>
      <c r="AI38" s="66"/>
    </row>
    <row r="39" spans="1:35" ht="24" x14ac:dyDescent="0.25">
      <c r="A39" s="78">
        <v>37</v>
      </c>
      <c r="B39" s="78" t="s">
        <v>407</v>
      </c>
      <c r="C39" s="78"/>
      <c r="D39" s="78">
        <v>0</v>
      </c>
      <c r="E39" s="78">
        <v>0</v>
      </c>
      <c r="F39" s="78" t="s">
        <v>430</v>
      </c>
      <c r="G39" s="80" t="s">
        <v>438</v>
      </c>
      <c r="H39" s="81" t="s">
        <v>529</v>
      </c>
      <c r="I39" s="78" t="s">
        <v>410</v>
      </c>
      <c r="J39" s="78">
        <v>4.1100000000000003</v>
      </c>
      <c r="K39" s="78"/>
      <c r="L39" s="94" t="s">
        <v>526</v>
      </c>
      <c r="M39" s="83" t="s">
        <v>412</v>
      </c>
      <c r="N39" s="95" t="s">
        <v>527</v>
      </c>
      <c r="O39" s="96">
        <v>34078</v>
      </c>
      <c r="P39" s="85" t="s">
        <v>415</v>
      </c>
      <c r="Q39" s="97" t="s">
        <v>527</v>
      </c>
      <c r="R39" s="87">
        <v>1</v>
      </c>
      <c r="S39" s="88" t="s">
        <v>34</v>
      </c>
      <c r="T39" s="98" t="s">
        <v>410</v>
      </c>
      <c r="U39" s="98"/>
      <c r="V39" s="83"/>
      <c r="W39" s="96"/>
      <c r="X39" s="98"/>
      <c r="Y39" s="98"/>
      <c r="Z39" s="90" t="s">
        <v>422</v>
      </c>
      <c r="AA39" s="99">
        <v>1320.1999999999998</v>
      </c>
      <c r="AB39" s="92" t="s">
        <v>424</v>
      </c>
      <c r="AC39" s="83"/>
      <c r="AD39" s="83"/>
      <c r="AE39" s="100"/>
      <c r="AF39" s="90" t="s">
        <v>445</v>
      </c>
      <c r="AG39" s="90">
        <v>1</v>
      </c>
      <c r="AI39" s="66"/>
    </row>
    <row r="40" spans="1:35" ht="24" x14ac:dyDescent="0.25">
      <c r="A40" s="78">
        <v>38</v>
      </c>
      <c r="B40" s="78"/>
      <c r="C40" s="78" t="s">
        <v>407</v>
      </c>
      <c r="D40" s="78">
        <v>1</v>
      </c>
      <c r="E40" s="78">
        <v>1</v>
      </c>
      <c r="F40" s="78" t="s">
        <v>430</v>
      </c>
      <c r="G40" s="80" t="s">
        <v>518</v>
      </c>
      <c r="H40" s="81" t="s">
        <v>525</v>
      </c>
      <c r="I40" s="78" t="s">
        <v>410</v>
      </c>
      <c r="J40" s="78"/>
      <c r="K40" s="78"/>
      <c r="L40" s="94" t="s">
        <v>526</v>
      </c>
      <c r="M40" s="83" t="s">
        <v>412</v>
      </c>
      <c r="N40" s="95" t="s">
        <v>527</v>
      </c>
      <c r="O40" s="96">
        <v>34078</v>
      </c>
      <c r="P40" s="85" t="s">
        <v>415</v>
      </c>
      <c r="Q40" s="97" t="s">
        <v>527</v>
      </c>
      <c r="R40" s="88">
        <v>1</v>
      </c>
      <c r="S40" s="88" t="s">
        <v>34</v>
      </c>
      <c r="T40" s="98" t="s">
        <v>410</v>
      </c>
      <c r="U40" s="98"/>
      <c r="V40" s="83"/>
      <c r="W40" s="96"/>
      <c r="X40" s="98"/>
      <c r="Y40" s="98"/>
      <c r="Z40" s="90" t="s">
        <v>422</v>
      </c>
      <c r="AA40" s="99">
        <v>1320.1999999999998</v>
      </c>
      <c r="AB40" s="92" t="s">
        <v>424</v>
      </c>
      <c r="AC40" s="83"/>
      <c r="AD40" s="83"/>
      <c r="AE40" s="100"/>
      <c r="AF40" s="90" t="s">
        <v>445</v>
      </c>
      <c r="AG40" s="90">
        <v>1</v>
      </c>
      <c r="AI40" s="66"/>
    </row>
    <row r="41" spans="1:35" ht="21" customHeight="1" x14ac:dyDescent="0.25">
      <c r="A41" s="78">
        <v>39</v>
      </c>
      <c r="B41" s="78"/>
      <c r="C41" s="78" t="s">
        <v>407</v>
      </c>
      <c r="D41" s="78">
        <v>1</v>
      </c>
      <c r="E41" s="78">
        <v>1</v>
      </c>
      <c r="F41" s="78" t="s">
        <v>430</v>
      </c>
      <c r="G41" s="80" t="s">
        <v>518</v>
      </c>
      <c r="H41" s="81" t="s">
        <v>528</v>
      </c>
      <c r="I41" s="79" t="s">
        <v>410</v>
      </c>
      <c r="J41" s="79"/>
      <c r="K41" s="79"/>
      <c r="L41" s="94" t="s">
        <v>526</v>
      </c>
      <c r="M41" s="83" t="s">
        <v>412</v>
      </c>
      <c r="N41" s="95" t="s">
        <v>527</v>
      </c>
      <c r="O41" s="96">
        <v>34078</v>
      </c>
      <c r="P41" s="85" t="s">
        <v>415</v>
      </c>
      <c r="Q41" s="97" t="s">
        <v>527</v>
      </c>
      <c r="R41" s="88">
        <v>1</v>
      </c>
      <c r="S41" s="88" t="s">
        <v>34</v>
      </c>
      <c r="T41" s="98" t="s">
        <v>410</v>
      </c>
      <c r="U41" s="98"/>
      <c r="V41" s="83"/>
      <c r="W41" s="96"/>
      <c r="X41" s="98"/>
      <c r="Y41" s="98"/>
      <c r="Z41" s="90" t="s">
        <v>422</v>
      </c>
      <c r="AA41" s="99">
        <v>1320.1999999999998</v>
      </c>
      <c r="AB41" s="92" t="s">
        <v>424</v>
      </c>
      <c r="AC41" s="83"/>
      <c r="AD41" s="83"/>
      <c r="AE41" s="100"/>
      <c r="AF41" s="90" t="s">
        <v>445</v>
      </c>
      <c r="AG41" s="90">
        <v>1</v>
      </c>
      <c r="AI41" s="66"/>
    </row>
    <row r="42" spans="1:35" ht="24" x14ac:dyDescent="0.25">
      <c r="A42" s="78">
        <v>40</v>
      </c>
      <c r="B42" s="78"/>
      <c r="C42" s="78" t="s">
        <v>407</v>
      </c>
      <c r="D42" s="78">
        <v>1</v>
      </c>
      <c r="E42" s="78">
        <v>1</v>
      </c>
      <c r="F42" s="78" t="s">
        <v>430</v>
      </c>
      <c r="G42" s="80" t="s">
        <v>518</v>
      </c>
      <c r="H42" s="81" t="s">
        <v>529</v>
      </c>
      <c r="I42" s="78" t="s">
        <v>410</v>
      </c>
      <c r="J42" s="78"/>
      <c r="K42" s="78"/>
      <c r="L42" s="94" t="s">
        <v>526</v>
      </c>
      <c r="M42" s="83" t="s">
        <v>412</v>
      </c>
      <c r="N42" s="95" t="s">
        <v>527</v>
      </c>
      <c r="O42" s="96">
        <v>34078</v>
      </c>
      <c r="P42" s="85" t="s">
        <v>415</v>
      </c>
      <c r="Q42" s="97" t="s">
        <v>527</v>
      </c>
      <c r="R42" s="87">
        <v>1</v>
      </c>
      <c r="S42" s="88" t="s">
        <v>34</v>
      </c>
      <c r="T42" s="98" t="s">
        <v>410</v>
      </c>
      <c r="U42" s="98"/>
      <c r="V42" s="83"/>
      <c r="W42" s="96"/>
      <c r="X42" s="98"/>
      <c r="Y42" s="98"/>
      <c r="Z42" s="90" t="s">
        <v>422</v>
      </c>
      <c r="AA42" s="99">
        <v>1320.1999999999998</v>
      </c>
      <c r="AB42" s="92" t="s">
        <v>424</v>
      </c>
      <c r="AC42" s="83"/>
      <c r="AD42" s="83"/>
      <c r="AE42" s="100"/>
      <c r="AF42" s="90" t="s">
        <v>445</v>
      </c>
      <c r="AG42" s="90">
        <v>1</v>
      </c>
      <c r="AI42" s="66"/>
    </row>
    <row r="43" spans="1:35" s="45" customFormat="1" ht="24" x14ac:dyDescent="0.25">
      <c r="A43" s="29">
        <v>41</v>
      </c>
      <c r="B43" s="29" t="s">
        <v>407</v>
      </c>
      <c r="C43" s="30" t="s">
        <v>407</v>
      </c>
      <c r="D43" s="30">
        <v>0</v>
      </c>
      <c r="E43" s="30">
        <v>0</v>
      </c>
      <c r="F43" s="30"/>
      <c r="G43" s="31" t="s">
        <v>408</v>
      </c>
      <c r="H43" s="32" t="s">
        <v>530</v>
      </c>
      <c r="I43" s="30" t="s">
        <v>410</v>
      </c>
      <c r="J43" s="30"/>
      <c r="K43" s="30" t="s">
        <v>531</v>
      </c>
      <c r="L43" s="101" t="s">
        <v>532</v>
      </c>
      <c r="M43" s="35" t="s">
        <v>412</v>
      </c>
      <c r="N43" s="35" t="s">
        <v>533</v>
      </c>
      <c r="O43" s="37" t="s">
        <v>415</v>
      </c>
      <c r="P43" s="37" t="s">
        <v>415</v>
      </c>
      <c r="Q43" s="35" t="s">
        <v>533</v>
      </c>
      <c r="R43" s="38">
        <v>0</v>
      </c>
      <c r="S43" s="39" t="s">
        <v>34</v>
      </c>
      <c r="T43" s="40"/>
      <c r="U43" s="40"/>
      <c r="V43" s="35"/>
      <c r="W43" s="48" t="s">
        <v>534</v>
      </c>
      <c r="X43" s="40"/>
      <c r="Y43" s="40"/>
      <c r="Z43" s="41"/>
      <c r="AA43" s="42"/>
      <c r="AB43" s="43"/>
      <c r="AC43" s="35"/>
      <c r="AD43" s="35"/>
      <c r="AE43" s="44"/>
      <c r="AF43" s="41" t="s">
        <v>445</v>
      </c>
      <c r="AG43" s="41">
        <v>0</v>
      </c>
      <c r="AI43" s="46"/>
    </row>
    <row r="44" spans="1:35" ht="24" x14ac:dyDescent="0.25">
      <c r="A44" s="78">
        <v>42</v>
      </c>
      <c r="B44" s="78" t="s">
        <v>407</v>
      </c>
      <c r="C44" s="79" t="s">
        <v>407</v>
      </c>
      <c r="D44" s="79">
        <v>1</v>
      </c>
      <c r="E44" s="79">
        <v>1</v>
      </c>
      <c r="F44" s="79" t="s">
        <v>430</v>
      </c>
      <c r="G44" s="80" t="s">
        <v>518</v>
      </c>
      <c r="H44" s="81" t="s">
        <v>535</v>
      </c>
      <c r="I44" s="78" t="s">
        <v>410</v>
      </c>
      <c r="J44" s="78"/>
      <c r="K44" s="78" t="s">
        <v>536</v>
      </c>
      <c r="L44" s="102" t="s">
        <v>537</v>
      </c>
      <c r="M44" s="83" t="s">
        <v>412</v>
      </c>
      <c r="N44" s="83" t="s">
        <v>538</v>
      </c>
      <c r="O44" s="85" t="s">
        <v>415</v>
      </c>
      <c r="P44" s="85" t="s">
        <v>415</v>
      </c>
      <c r="Q44" s="83" t="s">
        <v>538</v>
      </c>
      <c r="R44" s="87">
        <v>1</v>
      </c>
      <c r="S44" s="88" t="s">
        <v>34</v>
      </c>
      <c r="T44" s="98" t="s">
        <v>410</v>
      </c>
      <c r="U44" s="98"/>
      <c r="V44" s="83"/>
      <c r="W44" s="96" t="s">
        <v>421</v>
      </c>
      <c r="X44" s="98"/>
      <c r="Y44" s="98"/>
      <c r="Z44" s="90"/>
      <c r="AA44" s="91"/>
      <c r="AB44" s="92"/>
      <c r="AC44" s="83"/>
      <c r="AD44" s="83"/>
      <c r="AE44" s="100"/>
      <c r="AF44" s="90" t="s">
        <v>445</v>
      </c>
      <c r="AG44" s="90">
        <v>1</v>
      </c>
      <c r="AI44" s="66"/>
    </row>
    <row r="45" spans="1:35" ht="24" x14ac:dyDescent="0.25">
      <c r="A45" s="78">
        <v>43</v>
      </c>
      <c r="B45" s="78" t="s">
        <v>407</v>
      </c>
      <c r="C45" s="79" t="s">
        <v>407</v>
      </c>
      <c r="D45" s="79">
        <v>1</v>
      </c>
      <c r="E45" s="79">
        <v>1</v>
      </c>
      <c r="F45" s="79" t="s">
        <v>430</v>
      </c>
      <c r="G45" s="80" t="s">
        <v>539</v>
      </c>
      <c r="H45" s="81" t="s">
        <v>540</v>
      </c>
      <c r="I45" s="79" t="s">
        <v>410</v>
      </c>
      <c r="J45" s="79"/>
      <c r="K45" s="79" t="s">
        <v>541</v>
      </c>
      <c r="L45" s="102" t="s">
        <v>542</v>
      </c>
      <c r="M45" s="83" t="s">
        <v>412</v>
      </c>
      <c r="N45" s="83" t="s">
        <v>543</v>
      </c>
      <c r="O45" s="85" t="s">
        <v>415</v>
      </c>
      <c r="P45" s="85" t="s">
        <v>415</v>
      </c>
      <c r="Q45" s="83" t="s">
        <v>543</v>
      </c>
      <c r="R45" s="87">
        <v>1</v>
      </c>
      <c r="S45" s="88" t="s">
        <v>34</v>
      </c>
      <c r="T45" s="98" t="s">
        <v>410</v>
      </c>
      <c r="U45" s="98"/>
      <c r="V45" s="83"/>
      <c r="W45" s="96" t="s">
        <v>421</v>
      </c>
      <c r="X45" s="98"/>
      <c r="Y45" s="98"/>
      <c r="Z45" s="90"/>
      <c r="AA45" s="91"/>
      <c r="AB45" s="92"/>
      <c r="AC45" s="83"/>
      <c r="AD45" s="83"/>
      <c r="AE45" s="100"/>
      <c r="AF45" s="90" t="s">
        <v>445</v>
      </c>
      <c r="AG45" s="90">
        <v>1</v>
      </c>
      <c r="AI45" s="66"/>
    </row>
    <row r="46" spans="1:35" ht="24" x14ac:dyDescent="0.25">
      <c r="A46" s="78">
        <v>44</v>
      </c>
      <c r="B46" s="78" t="s">
        <v>407</v>
      </c>
      <c r="C46" s="79" t="s">
        <v>407</v>
      </c>
      <c r="D46" s="79">
        <v>1</v>
      </c>
      <c r="E46" s="79">
        <v>1</v>
      </c>
      <c r="F46" s="79" t="s">
        <v>430</v>
      </c>
      <c r="G46" s="81" t="s">
        <v>539</v>
      </c>
      <c r="H46" s="81" t="s">
        <v>544</v>
      </c>
      <c r="I46" s="78" t="s">
        <v>410</v>
      </c>
      <c r="J46" s="78"/>
      <c r="K46" s="78"/>
      <c r="L46" s="102" t="s">
        <v>545</v>
      </c>
      <c r="M46" s="83" t="s">
        <v>546</v>
      </c>
      <c r="N46" s="83" t="s">
        <v>547</v>
      </c>
      <c r="O46" s="85">
        <v>59797</v>
      </c>
      <c r="P46" s="85" t="s">
        <v>415</v>
      </c>
      <c r="Q46" s="83" t="s">
        <v>547</v>
      </c>
      <c r="R46" s="87">
        <v>1</v>
      </c>
      <c r="S46" s="88" t="s">
        <v>34</v>
      </c>
      <c r="T46" s="98" t="s">
        <v>410</v>
      </c>
      <c r="U46" s="98"/>
      <c r="V46" s="83"/>
      <c r="W46" s="96"/>
      <c r="X46" s="98"/>
      <c r="Y46" s="98"/>
      <c r="Z46" s="90"/>
      <c r="AA46" s="91"/>
      <c r="AB46" s="92"/>
      <c r="AC46" s="83"/>
      <c r="AD46" s="83"/>
      <c r="AE46" s="100"/>
      <c r="AF46" s="90" t="s">
        <v>445</v>
      </c>
      <c r="AG46" s="90">
        <v>1</v>
      </c>
      <c r="AI46" s="66"/>
    </row>
    <row r="47" spans="1:35" ht="24" x14ac:dyDescent="0.25">
      <c r="A47" s="78">
        <v>45</v>
      </c>
      <c r="B47" s="78" t="s">
        <v>407</v>
      </c>
      <c r="C47" s="79" t="s">
        <v>407</v>
      </c>
      <c r="D47" s="79">
        <v>1</v>
      </c>
      <c r="E47" s="79">
        <v>1</v>
      </c>
      <c r="F47" s="79" t="s">
        <v>430</v>
      </c>
      <c r="G47" s="80" t="s">
        <v>548</v>
      </c>
      <c r="H47" s="81" t="s">
        <v>549</v>
      </c>
      <c r="I47" s="79" t="s">
        <v>410</v>
      </c>
      <c r="J47" s="79"/>
      <c r="K47" s="79"/>
      <c r="L47" s="102" t="s">
        <v>550</v>
      </c>
      <c r="M47" s="83" t="s">
        <v>412</v>
      </c>
      <c r="N47" s="83" t="s">
        <v>551</v>
      </c>
      <c r="O47" s="85" t="s">
        <v>415</v>
      </c>
      <c r="P47" s="85" t="s">
        <v>415</v>
      </c>
      <c r="Q47" s="83" t="s">
        <v>551</v>
      </c>
      <c r="R47" s="87">
        <v>1</v>
      </c>
      <c r="S47" s="88" t="s">
        <v>34</v>
      </c>
      <c r="T47" s="98" t="s">
        <v>410</v>
      </c>
      <c r="U47" s="98"/>
      <c r="V47" s="83"/>
      <c r="W47" s="96" t="s">
        <v>454</v>
      </c>
      <c r="X47" s="98"/>
      <c r="Y47" s="98"/>
      <c r="Z47" s="90"/>
      <c r="AA47" s="91"/>
      <c r="AB47" s="92"/>
      <c r="AC47" s="83"/>
      <c r="AD47" s="83"/>
      <c r="AE47" s="100"/>
      <c r="AF47" s="90" t="s">
        <v>445</v>
      </c>
      <c r="AG47" s="90">
        <v>1</v>
      </c>
      <c r="AI47" s="66"/>
    </row>
    <row r="48" spans="1:35" ht="24" x14ac:dyDescent="0.25">
      <c r="A48" s="78">
        <v>46</v>
      </c>
      <c r="B48" s="78" t="s">
        <v>407</v>
      </c>
      <c r="C48" s="78" t="s">
        <v>407</v>
      </c>
      <c r="D48" s="78">
        <v>0</v>
      </c>
      <c r="E48" s="78">
        <v>1</v>
      </c>
      <c r="F48" s="78" t="s">
        <v>437</v>
      </c>
      <c r="G48" s="80" t="s">
        <v>552</v>
      </c>
      <c r="H48" s="103" t="s">
        <v>553</v>
      </c>
      <c r="I48" s="78" t="s">
        <v>410</v>
      </c>
      <c r="J48" s="78" t="s">
        <v>554</v>
      </c>
      <c r="K48" s="78"/>
      <c r="L48" s="102" t="s">
        <v>555</v>
      </c>
      <c r="M48" s="83" t="s">
        <v>412</v>
      </c>
      <c r="N48" s="104" t="s">
        <v>556</v>
      </c>
      <c r="O48" s="83" t="s">
        <v>557</v>
      </c>
      <c r="P48" s="85" t="s">
        <v>415</v>
      </c>
      <c r="Q48" s="104" t="s">
        <v>556</v>
      </c>
      <c r="R48" s="88">
        <v>1</v>
      </c>
      <c r="S48" s="88" t="s">
        <v>34</v>
      </c>
      <c r="T48" s="98" t="s">
        <v>410</v>
      </c>
      <c r="U48" s="98" t="s">
        <v>558</v>
      </c>
      <c r="V48" s="83"/>
      <c r="W48" s="96"/>
      <c r="X48" s="98"/>
      <c r="Y48" s="98"/>
      <c r="Z48" s="90" t="s">
        <v>422</v>
      </c>
      <c r="AA48" s="91">
        <v>1567.7375</v>
      </c>
      <c r="AB48" s="92" t="s">
        <v>424</v>
      </c>
      <c r="AC48" s="83"/>
      <c r="AD48" s="83"/>
      <c r="AE48" s="100"/>
      <c r="AF48" s="90" t="s">
        <v>445</v>
      </c>
      <c r="AG48" s="90">
        <v>1</v>
      </c>
      <c r="AI48" s="66"/>
    </row>
    <row r="49" spans="1:35" ht="24" x14ac:dyDescent="0.25">
      <c r="A49" s="78">
        <v>47</v>
      </c>
      <c r="B49" s="78" t="s">
        <v>407</v>
      </c>
      <c r="C49" s="78" t="s">
        <v>407</v>
      </c>
      <c r="D49" s="78">
        <v>0</v>
      </c>
      <c r="E49" s="78">
        <v>1</v>
      </c>
      <c r="F49" s="78" t="s">
        <v>437</v>
      </c>
      <c r="G49" s="80" t="s">
        <v>552</v>
      </c>
      <c r="H49" s="103" t="s">
        <v>559</v>
      </c>
      <c r="I49" s="78" t="s">
        <v>410</v>
      </c>
      <c r="J49" s="78" t="s">
        <v>554</v>
      </c>
      <c r="K49" s="78"/>
      <c r="L49" s="102" t="s">
        <v>555</v>
      </c>
      <c r="M49" s="83" t="s">
        <v>412</v>
      </c>
      <c r="N49" s="104" t="s">
        <v>556</v>
      </c>
      <c r="O49" s="83" t="s">
        <v>557</v>
      </c>
      <c r="P49" s="85" t="s">
        <v>415</v>
      </c>
      <c r="Q49" s="104" t="s">
        <v>556</v>
      </c>
      <c r="R49" s="88">
        <v>1</v>
      </c>
      <c r="S49" s="88" t="s">
        <v>34</v>
      </c>
      <c r="T49" s="98" t="s">
        <v>410</v>
      </c>
      <c r="U49" s="98" t="s">
        <v>560</v>
      </c>
      <c r="V49" s="83"/>
      <c r="W49" s="96"/>
      <c r="X49" s="98"/>
      <c r="Y49" s="98"/>
      <c r="Z49" s="90" t="s">
        <v>422</v>
      </c>
      <c r="AA49" s="91">
        <v>1567.7375</v>
      </c>
      <c r="AB49" s="92" t="s">
        <v>424</v>
      </c>
      <c r="AC49" s="83"/>
      <c r="AD49" s="83"/>
      <c r="AE49" s="100"/>
      <c r="AF49" s="90" t="s">
        <v>445</v>
      </c>
      <c r="AG49" s="90">
        <v>1</v>
      </c>
      <c r="AI49" s="66"/>
    </row>
    <row r="50" spans="1:35" ht="24" x14ac:dyDescent="0.25">
      <c r="A50" s="78">
        <v>48</v>
      </c>
      <c r="B50" s="78" t="s">
        <v>407</v>
      </c>
      <c r="C50" s="78" t="s">
        <v>407</v>
      </c>
      <c r="D50" s="78">
        <v>0</v>
      </c>
      <c r="E50" s="78">
        <v>1</v>
      </c>
      <c r="F50" s="78" t="s">
        <v>437</v>
      </c>
      <c r="G50" s="80" t="s">
        <v>552</v>
      </c>
      <c r="H50" s="103" t="s">
        <v>561</v>
      </c>
      <c r="I50" s="78" t="s">
        <v>410</v>
      </c>
      <c r="J50" s="78" t="s">
        <v>554</v>
      </c>
      <c r="K50" s="78"/>
      <c r="L50" s="102" t="s">
        <v>555</v>
      </c>
      <c r="M50" s="83" t="s">
        <v>412</v>
      </c>
      <c r="N50" s="104" t="s">
        <v>556</v>
      </c>
      <c r="O50" s="83" t="s">
        <v>557</v>
      </c>
      <c r="P50" s="85" t="s">
        <v>415</v>
      </c>
      <c r="Q50" s="104" t="s">
        <v>556</v>
      </c>
      <c r="R50" s="88">
        <v>1</v>
      </c>
      <c r="S50" s="88" t="s">
        <v>34</v>
      </c>
      <c r="T50" s="98" t="s">
        <v>410</v>
      </c>
      <c r="U50" s="98" t="s">
        <v>562</v>
      </c>
      <c r="V50" s="83"/>
      <c r="W50" s="96"/>
      <c r="X50" s="98"/>
      <c r="Y50" s="98"/>
      <c r="Z50" s="90" t="s">
        <v>422</v>
      </c>
      <c r="AA50" s="91">
        <v>1567.7375</v>
      </c>
      <c r="AB50" s="92" t="s">
        <v>424</v>
      </c>
      <c r="AC50" s="83"/>
      <c r="AD50" s="83"/>
      <c r="AE50" s="100"/>
      <c r="AF50" s="90" t="s">
        <v>445</v>
      </c>
      <c r="AG50" s="90">
        <v>1</v>
      </c>
      <c r="AI50" s="66"/>
    </row>
    <row r="51" spans="1:35" s="45" customFormat="1" ht="24" x14ac:dyDescent="0.25">
      <c r="A51" s="29">
        <v>49</v>
      </c>
      <c r="B51" s="29" t="s">
        <v>407</v>
      </c>
      <c r="C51" s="30" t="s">
        <v>407</v>
      </c>
      <c r="D51" s="30">
        <v>0</v>
      </c>
      <c r="E51" s="30">
        <v>0</v>
      </c>
      <c r="F51" s="30"/>
      <c r="G51" s="31" t="s">
        <v>408</v>
      </c>
      <c r="H51" s="32"/>
      <c r="I51" s="30" t="s">
        <v>469</v>
      </c>
      <c r="J51" s="30"/>
      <c r="K51" s="30"/>
      <c r="L51" s="101" t="s">
        <v>563</v>
      </c>
      <c r="M51" s="35" t="s">
        <v>412</v>
      </c>
      <c r="N51" s="35" t="s">
        <v>564</v>
      </c>
      <c r="O51" s="37" t="s">
        <v>415</v>
      </c>
      <c r="P51" s="37" t="s">
        <v>415</v>
      </c>
      <c r="Q51" s="35" t="s">
        <v>564</v>
      </c>
      <c r="R51" s="38">
        <v>0</v>
      </c>
      <c r="S51" s="39" t="s">
        <v>34</v>
      </c>
      <c r="T51" s="40"/>
      <c r="U51" s="40"/>
      <c r="V51" s="35"/>
      <c r="W51" s="48"/>
      <c r="X51" s="40"/>
      <c r="Y51" s="40"/>
      <c r="Z51" s="41"/>
      <c r="AA51" s="42"/>
      <c r="AB51" s="43"/>
      <c r="AC51" s="35"/>
      <c r="AD51" s="35"/>
      <c r="AE51" s="44"/>
      <c r="AF51" s="41" t="s">
        <v>445</v>
      </c>
      <c r="AG51" s="41">
        <v>0</v>
      </c>
      <c r="AI51" s="46"/>
    </row>
    <row r="52" spans="1:35" s="45" customFormat="1" ht="24" x14ac:dyDescent="0.25">
      <c r="A52" s="29">
        <v>50</v>
      </c>
      <c r="B52" s="29" t="s">
        <v>407</v>
      </c>
      <c r="C52" s="30" t="s">
        <v>407</v>
      </c>
      <c r="D52" s="30">
        <v>0</v>
      </c>
      <c r="E52" s="30">
        <v>0</v>
      </c>
      <c r="F52" s="30"/>
      <c r="G52" s="31" t="s">
        <v>408</v>
      </c>
      <c r="H52" s="32"/>
      <c r="I52" s="30" t="s">
        <v>469</v>
      </c>
      <c r="J52" s="30"/>
      <c r="K52" s="30"/>
      <c r="L52" s="101" t="s">
        <v>565</v>
      </c>
      <c r="M52" s="35" t="s">
        <v>546</v>
      </c>
      <c r="N52" s="35" t="s">
        <v>566</v>
      </c>
      <c r="O52" s="37" t="s">
        <v>415</v>
      </c>
      <c r="P52" s="37" t="s">
        <v>415</v>
      </c>
      <c r="Q52" s="35" t="s">
        <v>566</v>
      </c>
      <c r="R52" s="38">
        <v>0</v>
      </c>
      <c r="S52" s="39" t="s">
        <v>34</v>
      </c>
      <c r="T52" s="40"/>
      <c r="U52" s="40"/>
      <c r="V52" s="35"/>
      <c r="W52" s="48"/>
      <c r="X52" s="40"/>
      <c r="Y52" s="40"/>
      <c r="Z52" s="41"/>
      <c r="AA52" s="42"/>
      <c r="AB52" s="43"/>
      <c r="AC52" s="35"/>
      <c r="AD52" s="35"/>
      <c r="AE52" s="44"/>
      <c r="AF52" s="41" t="s">
        <v>445</v>
      </c>
      <c r="AG52" s="41">
        <v>0</v>
      </c>
      <c r="AI52" s="46"/>
    </row>
    <row r="53" spans="1:35" ht="24" x14ac:dyDescent="0.25">
      <c r="A53" s="78">
        <v>51</v>
      </c>
      <c r="B53" s="78" t="s">
        <v>407</v>
      </c>
      <c r="C53" s="78" t="s">
        <v>407</v>
      </c>
      <c r="D53" s="78">
        <v>1</v>
      </c>
      <c r="E53" s="78">
        <v>1</v>
      </c>
      <c r="F53" s="78" t="s">
        <v>437</v>
      </c>
      <c r="G53" s="80" t="s">
        <v>567</v>
      </c>
      <c r="H53" s="81" t="s">
        <v>568</v>
      </c>
      <c r="I53" s="78" t="s">
        <v>410</v>
      </c>
      <c r="J53" s="78" t="s">
        <v>569</v>
      </c>
      <c r="K53" s="78"/>
      <c r="L53" s="105" t="s">
        <v>570</v>
      </c>
      <c r="M53" s="83" t="s">
        <v>412</v>
      </c>
      <c r="N53" s="84" t="s">
        <v>571</v>
      </c>
      <c r="O53" s="85" t="s">
        <v>415</v>
      </c>
      <c r="P53" s="85" t="s">
        <v>415</v>
      </c>
      <c r="Q53" s="84" t="s">
        <v>571</v>
      </c>
      <c r="R53" s="87">
        <v>1</v>
      </c>
      <c r="S53" s="88" t="s">
        <v>34</v>
      </c>
      <c r="T53" s="79" t="s">
        <v>469</v>
      </c>
      <c r="U53" s="79" t="s">
        <v>470</v>
      </c>
      <c r="V53" s="89"/>
      <c r="W53" s="79" t="s">
        <v>421</v>
      </c>
      <c r="X53" s="79"/>
      <c r="Y53" s="79"/>
      <c r="Z53" s="90" t="s">
        <v>422</v>
      </c>
      <c r="AA53" s="91">
        <v>4950.75</v>
      </c>
      <c r="AB53" s="92" t="s">
        <v>424</v>
      </c>
      <c r="AC53" s="79"/>
      <c r="AD53" s="79"/>
      <c r="AE53" s="79"/>
      <c r="AF53" s="90" t="s">
        <v>445</v>
      </c>
      <c r="AG53" s="90">
        <v>1</v>
      </c>
      <c r="AI53" s="66"/>
    </row>
    <row r="54" spans="1:35" ht="24" x14ac:dyDescent="0.2">
      <c r="A54" s="78">
        <v>52</v>
      </c>
      <c r="B54" s="78" t="s">
        <v>407</v>
      </c>
      <c r="C54" s="78" t="s">
        <v>407</v>
      </c>
      <c r="D54" s="78">
        <v>1</v>
      </c>
      <c r="E54" s="78">
        <v>1</v>
      </c>
      <c r="F54" s="78" t="s">
        <v>437</v>
      </c>
      <c r="G54" s="80" t="s">
        <v>567</v>
      </c>
      <c r="H54" s="81" t="s">
        <v>568</v>
      </c>
      <c r="I54" s="78" t="s">
        <v>410</v>
      </c>
      <c r="J54" s="78" t="s">
        <v>569</v>
      </c>
      <c r="K54" s="78"/>
      <c r="L54" s="106" t="s">
        <v>572</v>
      </c>
      <c r="M54" s="95" t="s">
        <v>546</v>
      </c>
      <c r="N54" s="95" t="s">
        <v>573</v>
      </c>
      <c r="O54" s="85" t="s">
        <v>415</v>
      </c>
      <c r="P54" s="85" t="s">
        <v>415</v>
      </c>
      <c r="Q54" s="95" t="s">
        <v>573</v>
      </c>
      <c r="R54" s="107" t="s">
        <v>574</v>
      </c>
      <c r="S54" s="88" t="s">
        <v>34</v>
      </c>
      <c r="T54" s="79" t="s">
        <v>469</v>
      </c>
      <c r="U54" s="79" t="s">
        <v>470</v>
      </c>
      <c r="V54" s="89"/>
      <c r="W54" s="79" t="s">
        <v>575</v>
      </c>
      <c r="X54" s="79"/>
      <c r="Y54" s="79"/>
      <c r="Z54" s="90" t="s">
        <v>422</v>
      </c>
      <c r="AA54" s="91">
        <v>1072.6624999999999</v>
      </c>
      <c r="AB54" s="92" t="s">
        <v>424</v>
      </c>
      <c r="AC54" s="79"/>
      <c r="AD54" s="79"/>
      <c r="AE54" s="79"/>
      <c r="AF54" s="84" t="s">
        <v>445</v>
      </c>
      <c r="AG54" s="79" t="s">
        <v>574</v>
      </c>
      <c r="AI54" s="66"/>
    </row>
    <row r="55" spans="1:35" ht="24" x14ac:dyDescent="0.2">
      <c r="A55" s="78">
        <v>53</v>
      </c>
      <c r="B55" s="78" t="s">
        <v>407</v>
      </c>
      <c r="C55" s="78" t="s">
        <v>407</v>
      </c>
      <c r="D55" s="78">
        <v>2</v>
      </c>
      <c r="E55" s="78">
        <v>2</v>
      </c>
      <c r="F55" s="78" t="s">
        <v>437</v>
      </c>
      <c r="G55" s="80" t="s">
        <v>567</v>
      </c>
      <c r="H55" s="81" t="s">
        <v>576</v>
      </c>
      <c r="I55" s="79" t="s">
        <v>410</v>
      </c>
      <c r="J55" s="79" t="s">
        <v>569</v>
      </c>
      <c r="K55" s="79"/>
      <c r="L55" s="108" t="s">
        <v>577</v>
      </c>
      <c r="M55" s="95" t="s">
        <v>546</v>
      </c>
      <c r="N55" s="95" t="s">
        <v>578</v>
      </c>
      <c r="O55" s="85" t="s">
        <v>415</v>
      </c>
      <c r="P55" s="85" t="s">
        <v>415</v>
      </c>
      <c r="Q55" s="95" t="s">
        <v>578</v>
      </c>
      <c r="R55" s="107" t="s">
        <v>367</v>
      </c>
      <c r="S55" s="88" t="s">
        <v>34</v>
      </c>
      <c r="T55" s="79" t="s">
        <v>469</v>
      </c>
      <c r="U55" s="79" t="s">
        <v>470</v>
      </c>
      <c r="V55" s="89"/>
      <c r="W55" s="79" t="s">
        <v>579</v>
      </c>
      <c r="X55" s="79"/>
      <c r="Y55" s="79"/>
      <c r="Z55" s="90" t="s">
        <v>422</v>
      </c>
      <c r="AA55" s="91">
        <v>2186.5812499999997</v>
      </c>
      <c r="AB55" s="92" t="s">
        <v>424</v>
      </c>
      <c r="AC55" s="79"/>
      <c r="AD55" s="79"/>
      <c r="AE55" s="79"/>
      <c r="AF55" s="84" t="s">
        <v>445</v>
      </c>
      <c r="AG55" s="79" t="s">
        <v>367</v>
      </c>
      <c r="AI55" s="66"/>
    </row>
    <row r="56" spans="1:35" ht="24" x14ac:dyDescent="0.25">
      <c r="A56" s="78">
        <v>54</v>
      </c>
      <c r="B56" s="78" t="s">
        <v>407</v>
      </c>
      <c r="C56" s="78" t="s">
        <v>407</v>
      </c>
      <c r="D56" s="78">
        <v>1</v>
      </c>
      <c r="E56" s="78">
        <v>1</v>
      </c>
      <c r="F56" s="78" t="s">
        <v>437</v>
      </c>
      <c r="G56" s="80" t="s">
        <v>567</v>
      </c>
      <c r="H56" s="81" t="s">
        <v>580</v>
      </c>
      <c r="I56" s="78" t="s">
        <v>410</v>
      </c>
      <c r="J56" s="78" t="s">
        <v>569</v>
      </c>
      <c r="K56" s="78"/>
      <c r="L56" s="102" t="s">
        <v>581</v>
      </c>
      <c r="M56" s="83" t="s">
        <v>412</v>
      </c>
      <c r="N56" s="83" t="s">
        <v>582</v>
      </c>
      <c r="O56" s="85" t="s">
        <v>415</v>
      </c>
      <c r="P56" s="85" t="s">
        <v>415</v>
      </c>
      <c r="Q56" s="83" t="s">
        <v>582</v>
      </c>
      <c r="R56" s="88">
        <v>1</v>
      </c>
      <c r="S56" s="88" t="s">
        <v>34</v>
      </c>
      <c r="T56" s="98" t="s">
        <v>469</v>
      </c>
      <c r="U56" s="98" t="s">
        <v>470</v>
      </c>
      <c r="V56" s="83"/>
      <c r="W56" s="96" t="s">
        <v>421</v>
      </c>
      <c r="X56" s="98"/>
      <c r="Y56" s="98"/>
      <c r="Z56" s="90" t="s">
        <v>422</v>
      </c>
      <c r="AA56" s="109" t="s">
        <v>423</v>
      </c>
      <c r="AB56" s="92" t="s">
        <v>424</v>
      </c>
      <c r="AC56" s="83"/>
      <c r="AD56" s="83"/>
      <c r="AE56" s="100"/>
      <c r="AF56" s="90" t="s">
        <v>445</v>
      </c>
      <c r="AG56" s="90">
        <v>1</v>
      </c>
      <c r="AI56" s="66"/>
    </row>
    <row r="57" spans="1:35" ht="24" x14ac:dyDescent="0.2">
      <c r="A57" s="78">
        <v>55</v>
      </c>
      <c r="B57" s="78" t="s">
        <v>407</v>
      </c>
      <c r="C57" s="78" t="s">
        <v>407</v>
      </c>
      <c r="D57" s="78">
        <v>0</v>
      </c>
      <c r="E57" s="78">
        <v>1</v>
      </c>
      <c r="F57" s="78" t="s">
        <v>437</v>
      </c>
      <c r="G57" s="80" t="s">
        <v>567</v>
      </c>
      <c r="H57" s="81" t="s">
        <v>583</v>
      </c>
      <c r="I57" s="79" t="s">
        <v>469</v>
      </c>
      <c r="J57" s="79" t="s">
        <v>569</v>
      </c>
      <c r="K57" s="79"/>
      <c r="L57" s="110" t="s">
        <v>584</v>
      </c>
      <c r="M57" s="79" t="s">
        <v>546</v>
      </c>
      <c r="N57" s="83" t="s">
        <v>585</v>
      </c>
      <c r="O57" s="85" t="s">
        <v>586</v>
      </c>
      <c r="P57" s="85" t="s">
        <v>415</v>
      </c>
      <c r="Q57" s="83" t="s">
        <v>585</v>
      </c>
      <c r="R57" s="88">
        <v>1</v>
      </c>
      <c r="S57" s="88" t="s">
        <v>34</v>
      </c>
      <c r="T57" s="98" t="s">
        <v>469</v>
      </c>
      <c r="U57" s="98" t="s">
        <v>470</v>
      </c>
      <c r="V57" s="83"/>
      <c r="W57" s="96"/>
      <c r="X57" s="98"/>
      <c r="Y57" s="98"/>
      <c r="Z57" s="90" t="s">
        <v>422</v>
      </c>
      <c r="AA57" s="91">
        <v>783.86874999999998</v>
      </c>
      <c r="AB57" s="92" t="s">
        <v>424</v>
      </c>
      <c r="AC57" s="83"/>
      <c r="AD57" s="83"/>
      <c r="AE57" s="100"/>
      <c r="AF57" s="90" t="s">
        <v>445</v>
      </c>
      <c r="AG57" s="90">
        <v>1</v>
      </c>
      <c r="AI57" s="66"/>
    </row>
    <row r="58" spans="1:35" ht="24" x14ac:dyDescent="0.2">
      <c r="A58" s="78">
        <v>56</v>
      </c>
      <c r="B58" s="78" t="s">
        <v>407</v>
      </c>
      <c r="C58" s="79" t="s">
        <v>407</v>
      </c>
      <c r="D58" s="79">
        <v>1</v>
      </c>
      <c r="E58" s="79">
        <v>1</v>
      </c>
      <c r="F58" s="79" t="s">
        <v>430</v>
      </c>
      <c r="G58" s="80" t="s">
        <v>567</v>
      </c>
      <c r="H58" s="81" t="s">
        <v>587</v>
      </c>
      <c r="I58" s="78" t="s">
        <v>469</v>
      </c>
      <c r="J58" s="78"/>
      <c r="K58" s="78"/>
      <c r="L58" s="110" t="s">
        <v>588</v>
      </c>
      <c r="M58" s="79" t="s">
        <v>546</v>
      </c>
      <c r="N58" s="83" t="s">
        <v>589</v>
      </c>
      <c r="O58" s="85" t="s">
        <v>586</v>
      </c>
      <c r="P58" s="85" t="s">
        <v>415</v>
      </c>
      <c r="Q58" s="83" t="s">
        <v>589</v>
      </c>
      <c r="R58" s="88">
        <v>1</v>
      </c>
      <c r="S58" s="88" t="s">
        <v>34</v>
      </c>
      <c r="T58" s="98" t="s">
        <v>410</v>
      </c>
      <c r="U58" s="98"/>
      <c r="V58" s="83"/>
      <c r="W58" s="96"/>
      <c r="X58" s="111"/>
      <c r="Y58" s="98"/>
      <c r="Z58" s="90"/>
      <c r="AA58" s="91"/>
      <c r="AB58" s="92"/>
      <c r="AC58" s="83"/>
      <c r="AD58" s="83"/>
      <c r="AE58" s="100"/>
      <c r="AF58" s="90" t="s">
        <v>445</v>
      </c>
      <c r="AG58" s="90">
        <v>1</v>
      </c>
      <c r="AI58" s="66"/>
    </row>
    <row r="59" spans="1:35" ht="24" x14ac:dyDescent="0.25">
      <c r="A59" s="78">
        <v>57</v>
      </c>
      <c r="B59" s="78" t="s">
        <v>407</v>
      </c>
      <c r="C59" s="79" t="s">
        <v>407</v>
      </c>
      <c r="D59" s="79">
        <v>1</v>
      </c>
      <c r="E59" s="79">
        <v>1</v>
      </c>
      <c r="F59" s="79" t="s">
        <v>430</v>
      </c>
      <c r="G59" s="80" t="s">
        <v>590</v>
      </c>
      <c r="H59" s="81" t="s">
        <v>591</v>
      </c>
      <c r="I59" s="79" t="s">
        <v>410</v>
      </c>
      <c r="J59" s="79"/>
      <c r="K59" s="79"/>
      <c r="L59" s="102" t="s">
        <v>592</v>
      </c>
      <c r="M59" s="83" t="s">
        <v>546</v>
      </c>
      <c r="N59" s="83" t="s">
        <v>593</v>
      </c>
      <c r="O59" s="85" t="s">
        <v>594</v>
      </c>
      <c r="P59" s="85" t="s">
        <v>415</v>
      </c>
      <c r="Q59" s="83" t="s">
        <v>593</v>
      </c>
      <c r="R59" s="88">
        <v>1</v>
      </c>
      <c r="S59" s="88" t="s">
        <v>34</v>
      </c>
      <c r="T59" s="98" t="s">
        <v>410</v>
      </c>
      <c r="U59" s="98"/>
      <c r="V59" s="83"/>
      <c r="W59" s="96"/>
      <c r="X59" s="98"/>
      <c r="Y59" s="98"/>
      <c r="Z59" s="90"/>
      <c r="AA59" s="91"/>
      <c r="AB59" s="92"/>
      <c r="AC59" s="83"/>
      <c r="AD59" s="83"/>
      <c r="AE59" s="100"/>
      <c r="AF59" s="90" t="s">
        <v>445</v>
      </c>
      <c r="AG59" s="90">
        <v>1</v>
      </c>
      <c r="AI59" s="66"/>
    </row>
    <row r="60" spans="1:35" ht="24" x14ac:dyDescent="0.25">
      <c r="A60" s="78">
        <v>58</v>
      </c>
      <c r="B60" s="78" t="s">
        <v>407</v>
      </c>
      <c r="C60" s="78" t="s">
        <v>407</v>
      </c>
      <c r="D60" s="78">
        <v>0</v>
      </c>
      <c r="E60" s="78">
        <v>1</v>
      </c>
      <c r="F60" s="78" t="s">
        <v>437</v>
      </c>
      <c r="G60" s="80" t="s">
        <v>590</v>
      </c>
      <c r="H60" s="81" t="s">
        <v>595</v>
      </c>
      <c r="I60" s="78" t="s">
        <v>410</v>
      </c>
      <c r="J60" s="78" t="s">
        <v>569</v>
      </c>
      <c r="K60" s="78"/>
      <c r="L60" s="102" t="s">
        <v>596</v>
      </c>
      <c r="M60" s="83" t="s">
        <v>546</v>
      </c>
      <c r="N60" s="83" t="s">
        <v>597</v>
      </c>
      <c r="O60" s="85" t="s">
        <v>594</v>
      </c>
      <c r="P60" s="85" t="s">
        <v>415</v>
      </c>
      <c r="Q60" s="83" t="s">
        <v>597</v>
      </c>
      <c r="R60" s="88">
        <v>1</v>
      </c>
      <c r="S60" s="88" t="s">
        <v>34</v>
      </c>
      <c r="T60" s="98" t="s">
        <v>469</v>
      </c>
      <c r="U60" s="98" t="s">
        <v>470</v>
      </c>
      <c r="V60" s="83"/>
      <c r="W60" s="96"/>
      <c r="X60" s="98"/>
      <c r="Y60" s="98"/>
      <c r="Z60" s="90" t="s">
        <v>422</v>
      </c>
      <c r="AA60" s="91">
        <v>660.09999999999991</v>
      </c>
      <c r="AB60" s="92" t="s">
        <v>424</v>
      </c>
      <c r="AC60" s="83"/>
      <c r="AD60" s="83"/>
      <c r="AE60" s="100"/>
      <c r="AF60" s="90" t="s">
        <v>445</v>
      </c>
      <c r="AG60" s="90">
        <v>1</v>
      </c>
      <c r="AI60" s="66"/>
    </row>
    <row r="61" spans="1:35" s="45" customFormat="1" ht="24" x14ac:dyDescent="0.25">
      <c r="A61" s="29">
        <v>59</v>
      </c>
      <c r="B61" s="29" t="s">
        <v>407</v>
      </c>
      <c r="C61" s="30" t="s">
        <v>407</v>
      </c>
      <c r="D61" s="30">
        <v>0</v>
      </c>
      <c r="E61" s="30">
        <v>0</v>
      </c>
      <c r="F61" s="30"/>
      <c r="G61" s="31" t="s">
        <v>408</v>
      </c>
      <c r="H61" s="32" t="s">
        <v>598</v>
      </c>
      <c r="I61" s="30" t="s">
        <v>410</v>
      </c>
      <c r="J61" s="30"/>
      <c r="K61" s="30" t="s">
        <v>599</v>
      </c>
      <c r="L61" s="76" t="s">
        <v>600</v>
      </c>
      <c r="M61" s="35" t="s">
        <v>412</v>
      </c>
      <c r="N61" s="112" t="s">
        <v>601</v>
      </c>
      <c r="O61" s="37">
        <v>15175</v>
      </c>
      <c r="P61" s="37">
        <v>15175</v>
      </c>
      <c r="Q61" s="36" t="s">
        <v>601</v>
      </c>
      <c r="R61" s="38">
        <v>0</v>
      </c>
      <c r="S61" s="39" t="s">
        <v>34</v>
      </c>
      <c r="T61" s="30"/>
      <c r="U61" s="30"/>
      <c r="V61" s="47"/>
      <c r="W61" s="30"/>
      <c r="X61" s="30"/>
      <c r="Y61" s="30"/>
      <c r="Z61" s="41"/>
      <c r="AA61" s="42"/>
      <c r="AB61" s="43"/>
      <c r="AC61" s="30"/>
      <c r="AD61" s="30"/>
      <c r="AE61" s="30"/>
      <c r="AF61" s="47" t="s">
        <v>445</v>
      </c>
      <c r="AG61" s="41">
        <v>0</v>
      </c>
      <c r="AI61" s="46"/>
    </row>
    <row r="62" spans="1:35" s="45" customFormat="1" ht="24" x14ac:dyDescent="0.25">
      <c r="A62" s="29">
        <v>60</v>
      </c>
      <c r="B62" s="29" t="s">
        <v>407</v>
      </c>
      <c r="C62" s="30" t="s">
        <v>407</v>
      </c>
      <c r="D62" s="30">
        <v>0</v>
      </c>
      <c r="E62" s="30">
        <v>0</v>
      </c>
      <c r="F62" s="30"/>
      <c r="G62" s="31" t="s">
        <v>408</v>
      </c>
      <c r="H62" s="32" t="s">
        <v>602</v>
      </c>
      <c r="I62" s="29" t="s">
        <v>410</v>
      </c>
      <c r="J62" s="29"/>
      <c r="K62" s="29" t="s">
        <v>599</v>
      </c>
      <c r="L62" s="76" t="s">
        <v>600</v>
      </c>
      <c r="M62" s="35" t="s">
        <v>412</v>
      </c>
      <c r="N62" s="112" t="s">
        <v>601</v>
      </c>
      <c r="O62" s="37">
        <v>15175</v>
      </c>
      <c r="P62" s="37">
        <v>15175</v>
      </c>
      <c r="Q62" s="36" t="s">
        <v>601</v>
      </c>
      <c r="R62" s="38">
        <v>0</v>
      </c>
      <c r="S62" s="39" t="s">
        <v>34</v>
      </c>
      <c r="T62" s="30"/>
      <c r="U62" s="30"/>
      <c r="V62" s="47"/>
      <c r="W62" s="30"/>
      <c r="X62" s="30"/>
      <c r="Y62" s="30"/>
      <c r="Z62" s="41"/>
      <c r="AA62" s="42"/>
      <c r="AB62" s="43"/>
      <c r="AC62" s="30"/>
      <c r="AD62" s="30"/>
      <c r="AE62" s="30"/>
      <c r="AF62" s="47" t="s">
        <v>445</v>
      </c>
      <c r="AG62" s="41">
        <v>0</v>
      </c>
      <c r="AI62" s="46"/>
    </row>
    <row r="63" spans="1:35" s="45" customFormat="1" ht="24" x14ac:dyDescent="0.25">
      <c r="A63" s="29">
        <v>61</v>
      </c>
      <c r="B63" s="29" t="s">
        <v>407</v>
      </c>
      <c r="C63" s="30" t="s">
        <v>407</v>
      </c>
      <c r="D63" s="30">
        <v>0</v>
      </c>
      <c r="E63" s="30">
        <v>0</v>
      </c>
      <c r="F63" s="30"/>
      <c r="G63" s="31" t="s">
        <v>408</v>
      </c>
      <c r="H63" s="32" t="s">
        <v>603</v>
      </c>
      <c r="I63" s="30" t="s">
        <v>410</v>
      </c>
      <c r="J63" s="30"/>
      <c r="K63" s="30" t="s">
        <v>599</v>
      </c>
      <c r="L63" s="76" t="s">
        <v>600</v>
      </c>
      <c r="M63" s="35" t="s">
        <v>412</v>
      </c>
      <c r="N63" s="112" t="s">
        <v>601</v>
      </c>
      <c r="O63" s="37">
        <v>15175</v>
      </c>
      <c r="P63" s="37">
        <v>15175</v>
      </c>
      <c r="Q63" s="36" t="s">
        <v>601</v>
      </c>
      <c r="R63" s="38">
        <v>0</v>
      </c>
      <c r="S63" s="39" t="s">
        <v>34</v>
      </c>
      <c r="T63" s="30"/>
      <c r="U63" s="30"/>
      <c r="V63" s="47"/>
      <c r="W63" s="30"/>
      <c r="X63" s="30"/>
      <c r="Y63" s="30"/>
      <c r="Z63" s="41"/>
      <c r="AA63" s="42"/>
      <c r="AB63" s="43"/>
      <c r="AC63" s="30"/>
      <c r="AD63" s="30"/>
      <c r="AE63" s="30"/>
      <c r="AF63" s="47" t="s">
        <v>445</v>
      </c>
      <c r="AG63" s="41">
        <v>0</v>
      </c>
      <c r="AI63" s="46"/>
    </row>
    <row r="64" spans="1:35" s="45" customFormat="1" ht="24" x14ac:dyDescent="0.25">
      <c r="A64" s="29">
        <v>62</v>
      </c>
      <c r="B64" s="29" t="s">
        <v>407</v>
      </c>
      <c r="C64" s="30" t="s">
        <v>407</v>
      </c>
      <c r="D64" s="30">
        <v>0</v>
      </c>
      <c r="E64" s="30">
        <v>0</v>
      </c>
      <c r="F64" s="30"/>
      <c r="G64" s="31" t="s">
        <v>408</v>
      </c>
      <c r="H64" s="32" t="s">
        <v>604</v>
      </c>
      <c r="I64" s="29" t="s">
        <v>410</v>
      </c>
      <c r="J64" s="29"/>
      <c r="K64" s="29" t="s">
        <v>605</v>
      </c>
      <c r="L64" s="76" t="s">
        <v>606</v>
      </c>
      <c r="M64" s="35" t="s">
        <v>412</v>
      </c>
      <c r="N64" s="112" t="s">
        <v>607</v>
      </c>
      <c r="O64" s="37">
        <v>15175</v>
      </c>
      <c r="P64" s="37">
        <v>15175</v>
      </c>
      <c r="Q64" s="36" t="s">
        <v>607</v>
      </c>
      <c r="R64" s="38">
        <v>0</v>
      </c>
      <c r="S64" s="39" t="s">
        <v>34</v>
      </c>
      <c r="T64" s="30"/>
      <c r="U64" s="30"/>
      <c r="V64" s="47"/>
      <c r="W64" s="30"/>
      <c r="X64" s="30"/>
      <c r="Y64" s="30"/>
      <c r="Z64" s="41"/>
      <c r="AA64" s="42"/>
      <c r="AB64" s="43"/>
      <c r="AC64" s="30"/>
      <c r="AD64" s="30"/>
      <c r="AE64" s="30"/>
      <c r="AF64" s="47" t="s">
        <v>445</v>
      </c>
      <c r="AG64" s="41">
        <v>0</v>
      </c>
      <c r="AI64" s="46"/>
    </row>
    <row r="65" spans="1:35" s="45" customFormat="1" ht="24" x14ac:dyDescent="0.25">
      <c r="A65" s="29">
        <v>63</v>
      </c>
      <c r="B65" s="29" t="s">
        <v>407</v>
      </c>
      <c r="C65" s="30" t="s">
        <v>407</v>
      </c>
      <c r="D65" s="30">
        <v>0</v>
      </c>
      <c r="E65" s="30">
        <v>0</v>
      </c>
      <c r="F65" s="30"/>
      <c r="G65" s="31" t="s">
        <v>408</v>
      </c>
      <c r="H65" s="32" t="s">
        <v>608</v>
      </c>
      <c r="I65" s="30" t="s">
        <v>410</v>
      </c>
      <c r="J65" s="30"/>
      <c r="K65" s="30" t="s">
        <v>605</v>
      </c>
      <c r="L65" s="76" t="s">
        <v>606</v>
      </c>
      <c r="M65" s="35" t="s">
        <v>412</v>
      </c>
      <c r="N65" s="112" t="s">
        <v>607</v>
      </c>
      <c r="O65" s="37">
        <v>15175</v>
      </c>
      <c r="P65" s="37">
        <v>15175</v>
      </c>
      <c r="Q65" s="36" t="s">
        <v>607</v>
      </c>
      <c r="R65" s="38">
        <v>0</v>
      </c>
      <c r="S65" s="39" t="s">
        <v>34</v>
      </c>
      <c r="T65" s="30"/>
      <c r="U65" s="30"/>
      <c r="V65" s="47"/>
      <c r="W65" s="30"/>
      <c r="X65" s="30"/>
      <c r="Y65" s="30"/>
      <c r="Z65" s="41"/>
      <c r="AA65" s="42"/>
      <c r="AB65" s="43"/>
      <c r="AC65" s="30"/>
      <c r="AD65" s="30"/>
      <c r="AE65" s="30"/>
      <c r="AF65" s="47" t="s">
        <v>445</v>
      </c>
      <c r="AG65" s="41">
        <v>0</v>
      </c>
      <c r="AI65" s="46"/>
    </row>
    <row r="66" spans="1:35" s="45" customFormat="1" ht="24" x14ac:dyDescent="0.25">
      <c r="A66" s="29">
        <v>64</v>
      </c>
      <c r="B66" s="29" t="s">
        <v>407</v>
      </c>
      <c r="C66" s="30" t="s">
        <v>407</v>
      </c>
      <c r="D66" s="30">
        <v>0</v>
      </c>
      <c r="E66" s="30">
        <v>0</v>
      </c>
      <c r="F66" s="30"/>
      <c r="G66" s="31" t="s">
        <v>408</v>
      </c>
      <c r="H66" s="32" t="s">
        <v>609</v>
      </c>
      <c r="I66" s="29" t="s">
        <v>410</v>
      </c>
      <c r="J66" s="29"/>
      <c r="K66" s="29" t="s">
        <v>605</v>
      </c>
      <c r="L66" s="76" t="s">
        <v>606</v>
      </c>
      <c r="M66" s="35" t="s">
        <v>412</v>
      </c>
      <c r="N66" s="112" t="s">
        <v>607</v>
      </c>
      <c r="O66" s="37">
        <v>15175</v>
      </c>
      <c r="P66" s="37">
        <v>15175</v>
      </c>
      <c r="Q66" s="36" t="s">
        <v>607</v>
      </c>
      <c r="R66" s="38">
        <v>0</v>
      </c>
      <c r="S66" s="39" t="s">
        <v>34</v>
      </c>
      <c r="T66" s="30"/>
      <c r="U66" s="30"/>
      <c r="V66" s="47"/>
      <c r="W66" s="30"/>
      <c r="X66" s="30"/>
      <c r="Y66" s="30"/>
      <c r="Z66" s="41"/>
      <c r="AA66" s="42"/>
      <c r="AB66" s="43"/>
      <c r="AC66" s="30"/>
      <c r="AD66" s="30"/>
      <c r="AE66" s="30"/>
      <c r="AF66" s="47" t="s">
        <v>445</v>
      </c>
      <c r="AG66" s="41">
        <v>0</v>
      </c>
      <c r="AI66" s="46"/>
    </row>
    <row r="67" spans="1:35" ht="36" x14ac:dyDescent="0.25">
      <c r="A67" s="113">
        <v>65</v>
      </c>
      <c r="B67" s="113" t="s">
        <v>407</v>
      </c>
      <c r="C67" s="114" t="s">
        <v>407</v>
      </c>
      <c r="D67" s="114">
        <v>1</v>
      </c>
      <c r="E67" s="114">
        <v>1</v>
      </c>
      <c r="F67" s="114" t="s">
        <v>430</v>
      </c>
      <c r="G67" s="115" t="s">
        <v>610</v>
      </c>
      <c r="H67" s="116" t="s">
        <v>611</v>
      </c>
      <c r="I67" s="114" t="s">
        <v>410</v>
      </c>
      <c r="J67" s="114"/>
      <c r="K67" s="114" t="s">
        <v>612</v>
      </c>
      <c r="L67" s="117" t="s">
        <v>613</v>
      </c>
      <c r="M67" s="118" t="s">
        <v>412</v>
      </c>
      <c r="N67" s="119">
        <v>23740</v>
      </c>
      <c r="O67" s="120" t="s">
        <v>614</v>
      </c>
      <c r="P67" s="120" t="s">
        <v>415</v>
      </c>
      <c r="Q67" s="118" t="s">
        <v>615</v>
      </c>
      <c r="R67" s="119">
        <v>1</v>
      </c>
      <c r="S67" s="119" t="s">
        <v>34</v>
      </c>
      <c r="T67" s="121" t="s">
        <v>410</v>
      </c>
      <c r="U67" s="121"/>
      <c r="V67" s="118" t="s">
        <v>616</v>
      </c>
      <c r="W67" s="122"/>
      <c r="X67" s="121"/>
      <c r="Y67" s="121"/>
      <c r="Z67" s="123"/>
      <c r="AA67" s="124"/>
      <c r="AB67" s="125"/>
      <c r="AC67" s="118"/>
      <c r="AD67" s="118"/>
      <c r="AE67" s="126"/>
      <c r="AF67" s="123" t="s">
        <v>445</v>
      </c>
      <c r="AG67" s="123">
        <v>1</v>
      </c>
      <c r="AI67" s="66"/>
    </row>
    <row r="68" spans="1:35" ht="24" x14ac:dyDescent="0.25">
      <c r="A68" s="113">
        <v>66</v>
      </c>
      <c r="B68" s="113" t="s">
        <v>407</v>
      </c>
      <c r="C68" s="114" t="s">
        <v>407</v>
      </c>
      <c r="D68" s="114">
        <v>4</v>
      </c>
      <c r="E68" s="114">
        <v>4</v>
      </c>
      <c r="F68" s="114" t="s">
        <v>430</v>
      </c>
      <c r="G68" s="115" t="s">
        <v>617</v>
      </c>
      <c r="H68" s="116" t="s">
        <v>618</v>
      </c>
      <c r="I68" s="113" t="s">
        <v>469</v>
      </c>
      <c r="J68" s="113"/>
      <c r="K68" s="113"/>
      <c r="L68" s="127" t="s">
        <v>619</v>
      </c>
      <c r="M68" s="128" t="s">
        <v>546</v>
      </c>
      <c r="N68" s="118" t="s">
        <v>620</v>
      </c>
      <c r="O68" s="120" t="s">
        <v>621</v>
      </c>
      <c r="P68" s="120" t="s">
        <v>415</v>
      </c>
      <c r="Q68" s="118" t="s">
        <v>620</v>
      </c>
      <c r="R68" s="129">
        <v>4</v>
      </c>
      <c r="S68" s="119" t="s">
        <v>34</v>
      </c>
      <c r="T68" s="121" t="s">
        <v>469</v>
      </c>
      <c r="U68" s="121" t="s">
        <v>470</v>
      </c>
      <c r="V68" s="118"/>
      <c r="W68" s="122"/>
      <c r="X68" s="121"/>
      <c r="Y68" s="121"/>
      <c r="Z68" s="123"/>
      <c r="AA68" s="124"/>
      <c r="AB68" s="125"/>
      <c r="AC68" s="118"/>
      <c r="AD68" s="118"/>
      <c r="AE68" s="126"/>
      <c r="AF68" s="123" t="s">
        <v>445</v>
      </c>
      <c r="AG68" s="123">
        <v>4</v>
      </c>
      <c r="AI68" s="66"/>
    </row>
    <row r="69" spans="1:35" s="45" customFormat="1" ht="24" x14ac:dyDescent="0.25">
      <c r="A69" s="29">
        <v>67</v>
      </c>
      <c r="B69" s="29" t="s">
        <v>407</v>
      </c>
      <c r="C69" s="30" t="s">
        <v>407</v>
      </c>
      <c r="D69" s="30">
        <v>0</v>
      </c>
      <c r="E69" s="30">
        <v>0</v>
      </c>
      <c r="F69" s="30"/>
      <c r="G69" s="31" t="s">
        <v>408</v>
      </c>
      <c r="H69" s="32" t="s">
        <v>622</v>
      </c>
      <c r="I69" s="30" t="s">
        <v>410</v>
      </c>
      <c r="J69" s="30"/>
      <c r="K69" s="30"/>
      <c r="L69" s="101" t="s">
        <v>623</v>
      </c>
      <c r="M69" s="34" t="s">
        <v>546</v>
      </c>
      <c r="N69" s="130" t="s">
        <v>624</v>
      </c>
      <c r="O69" s="131" t="s">
        <v>625</v>
      </c>
      <c r="P69" s="37" t="s">
        <v>415</v>
      </c>
      <c r="Q69" s="132" t="s">
        <v>624</v>
      </c>
      <c r="R69" s="38">
        <v>0</v>
      </c>
      <c r="S69" s="39" t="s">
        <v>34</v>
      </c>
      <c r="T69" s="30"/>
      <c r="U69" s="30"/>
      <c r="V69" s="47"/>
      <c r="W69" s="30"/>
      <c r="X69" s="30"/>
      <c r="Y69" s="30"/>
      <c r="Z69" s="41"/>
      <c r="AA69" s="42"/>
      <c r="AB69" s="43"/>
      <c r="AC69" s="30"/>
      <c r="AD69" s="30"/>
      <c r="AE69" s="30"/>
      <c r="AF69" s="47" t="s">
        <v>445</v>
      </c>
      <c r="AG69" s="41">
        <v>0</v>
      </c>
      <c r="AI69" s="46"/>
    </row>
    <row r="70" spans="1:35" s="45" customFormat="1" ht="24" x14ac:dyDescent="0.25">
      <c r="A70" s="29">
        <v>68</v>
      </c>
      <c r="B70" s="29" t="s">
        <v>407</v>
      </c>
      <c r="C70" s="30" t="s">
        <v>407</v>
      </c>
      <c r="D70" s="30">
        <v>0</v>
      </c>
      <c r="E70" s="30">
        <v>0</v>
      </c>
      <c r="F70" s="30"/>
      <c r="G70" s="31" t="s">
        <v>408</v>
      </c>
      <c r="H70" s="32" t="s">
        <v>626</v>
      </c>
      <c r="I70" s="29" t="s">
        <v>410</v>
      </c>
      <c r="J70" s="29"/>
      <c r="K70" s="29" t="s">
        <v>627</v>
      </c>
      <c r="L70" s="101" t="s">
        <v>628</v>
      </c>
      <c r="M70" s="34" t="s">
        <v>412</v>
      </c>
      <c r="N70" s="35" t="s">
        <v>629</v>
      </c>
      <c r="O70" s="37">
        <v>51918</v>
      </c>
      <c r="P70" s="37" t="s">
        <v>415</v>
      </c>
      <c r="Q70" s="35" t="s">
        <v>629</v>
      </c>
      <c r="R70" s="38">
        <v>0</v>
      </c>
      <c r="S70" s="39" t="s">
        <v>34</v>
      </c>
      <c r="T70" s="30"/>
      <c r="U70" s="30"/>
      <c r="V70" s="35"/>
      <c r="W70" s="48"/>
      <c r="X70" s="48"/>
      <c r="Y70" s="40"/>
      <c r="Z70" s="41"/>
      <c r="AA70" s="42"/>
      <c r="AB70" s="43"/>
      <c r="AC70" s="35"/>
      <c r="AD70" s="35"/>
      <c r="AE70" s="44"/>
      <c r="AF70" s="41" t="s">
        <v>445</v>
      </c>
      <c r="AG70" s="41">
        <v>0</v>
      </c>
      <c r="AI70" s="46"/>
    </row>
    <row r="71" spans="1:35" s="45" customFormat="1" ht="24" x14ac:dyDescent="0.25">
      <c r="A71" s="29">
        <v>69</v>
      </c>
      <c r="B71" s="29" t="s">
        <v>407</v>
      </c>
      <c r="C71" s="30" t="s">
        <v>407</v>
      </c>
      <c r="D71" s="30">
        <v>0</v>
      </c>
      <c r="E71" s="30">
        <v>0</v>
      </c>
      <c r="F71" s="30"/>
      <c r="G71" s="31" t="s">
        <v>408</v>
      </c>
      <c r="H71" s="32" t="s">
        <v>630</v>
      </c>
      <c r="I71" s="30" t="s">
        <v>410</v>
      </c>
      <c r="J71" s="30"/>
      <c r="K71" s="30" t="s">
        <v>627</v>
      </c>
      <c r="L71" s="101" t="s">
        <v>631</v>
      </c>
      <c r="M71" s="34" t="s">
        <v>412</v>
      </c>
      <c r="N71" s="35" t="s">
        <v>629</v>
      </c>
      <c r="O71" s="37">
        <v>51918</v>
      </c>
      <c r="P71" s="37" t="s">
        <v>415</v>
      </c>
      <c r="Q71" s="35" t="s">
        <v>629</v>
      </c>
      <c r="R71" s="38">
        <v>0</v>
      </c>
      <c r="S71" s="39" t="s">
        <v>34</v>
      </c>
      <c r="T71" s="30"/>
      <c r="U71" s="30"/>
      <c r="V71" s="35"/>
      <c r="W71" s="48"/>
      <c r="X71" s="48"/>
      <c r="Y71" s="40"/>
      <c r="Z71" s="41"/>
      <c r="AA71" s="42"/>
      <c r="AB71" s="43"/>
      <c r="AC71" s="35"/>
      <c r="AD71" s="35"/>
      <c r="AE71" s="44"/>
      <c r="AF71" s="41" t="s">
        <v>445</v>
      </c>
      <c r="AG71" s="41">
        <v>0</v>
      </c>
      <c r="AI71" s="46"/>
    </row>
    <row r="72" spans="1:35" s="45" customFormat="1" ht="24" x14ac:dyDescent="0.25">
      <c r="A72" s="29">
        <v>70</v>
      </c>
      <c r="B72" s="29" t="s">
        <v>407</v>
      </c>
      <c r="C72" s="30" t="s">
        <v>407</v>
      </c>
      <c r="D72" s="30">
        <v>0</v>
      </c>
      <c r="E72" s="30">
        <v>0</v>
      </c>
      <c r="F72" s="30"/>
      <c r="G72" s="31" t="s">
        <v>408</v>
      </c>
      <c r="H72" s="32" t="s">
        <v>632</v>
      </c>
      <c r="I72" s="29" t="s">
        <v>410</v>
      </c>
      <c r="J72" s="29"/>
      <c r="K72" s="29" t="s">
        <v>627</v>
      </c>
      <c r="L72" s="101" t="s">
        <v>633</v>
      </c>
      <c r="M72" s="34" t="s">
        <v>412</v>
      </c>
      <c r="N72" s="35" t="s">
        <v>629</v>
      </c>
      <c r="O72" s="37">
        <v>51918</v>
      </c>
      <c r="P72" s="37" t="s">
        <v>415</v>
      </c>
      <c r="Q72" s="35" t="s">
        <v>629</v>
      </c>
      <c r="R72" s="38">
        <v>0</v>
      </c>
      <c r="S72" s="39" t="s">
        <v>34</v>
      </c>
      <c r="T72" s="30"/>
      <c r="U72" s="30"/>
      <c r="V72" s="35"/>
      <c r="W72" s="48"/>
      <c r="X72" s="48"/>
      <c r="Y72" s="40"/>
      <c r="Z72" s="41"/>
      <c r="AA72" s="42"/>
      <c r="AB72" s="43"/>
      <c r="AC72" s="35"/>
      <c r="AD72" s="35"/>
      <c r="AE72" s="44"/>
      <c r="AF72" s="41" t="s">
        <v>445</v>
      </c>
      <c r="AG72" s="41">
        <v>0</v>
      </c>
      <c r="AI72" s="46"/>
    </row>
    <row r="73" spans="1:35" s="45" customFormat="1" ht="24" x14ac:dyDescent="0.25">
      <c r="A73" s="29">
        <v>71</v>
      </c>
      <c r="B73" s="29" t="s">
        <v>407</v>
      </c>
      <c r="C73" s="30" t="s">
        <v>407</v>
      </c>
      <c r="D73" s="30">
        <v>0</v>
      </c>
      <c r="E73" s="30">
        <v>0</v>
      </c>
      <c r="F73" s="30"/>
      <c r="G73" s="31" t="s">
        <v>408</v>
      </c>
      <c r="H73" s="32" t="s">
        <v>634</v>
      </c>
      <c r="I73" s="30" t="s">
        <v>469</v>
      </c>
      <c r="J73" s="30"/>
      <c r="K73" s="30"/>
      <c r="L73" s="31" t="s">
        <v>635</v>
      </c>
      <c r="M73" s="34"/>
      <c r="N73" s="35"/>
      <c r="O73" s="37"/>
      <c r="P73" s="37"/>
      <c r="Q73" s="35"/>
      <c r="R73" s="38">
        <v>0</v>
      </c>
      <c r="S73" s="39" t="s">
        <v>34</v>
      </c>
      <c r="T73" s="30"/>
      <c r="U73" s="30"/>
      <c r="V73" s="35"/>
      <c r="W73" s="48"/>
      <c r="X73" s="48"/>
      <c r="Y73" s="40"/>
      <c r="Z73" s="41"/>
      <c r="AA73" s="42"/>
      <c r="AB73" s="43"/>
      <c r="AC73" s="35"/>
      <c r="AD73" s="35"/>
      <c r="AE73" s="44"/>
      <c r="AF73" s="41" t="s">
        <v>445</v>
      </c>
      <c r="AG73" s="41">
        <v>0</v>
      </c>
      <c r="AI73" s="46"/>
    </row>
    <row r="74" spans="1:35" s="45" customFormat="1" ht="24" x14ac:dyDescent="0.25">
      <c r="A74" s="29">
        <v>72</v>
      </c>
      <c r="B74" s="29" t="s">
        <v>407</v>
      </c>
      <c r="C74" s="30" t="s">
        <v>407</v>
      </c>
      <c r="D74" s="30">
        <v>0</v>
      </c>
      <c r="E74" s="30">
        <v>0</v>
      </c>
      <c r="F74" s="30"/>
      <c r="G74" s="31" t="s">
        <v>408</v>
      </c>
      <c r="H74" s="32" t="s">
        <v>636</v>
      </c>
      <c r="I74" s="29" t="s">
        <v>469</v>
      </c>
      <c r="J74" s="29"/>
      <c r="K74" s="29"/>
      <c r="L74" s="31" t="s">
        <v>637</v>
      </c>
      <c r="M74" s="34"/>
      <c r="N74" s="35"/>
      <c r="O74" s="37"/>
      <c r="P74" s="37"/>
      <c r="Q74" s="35"/>
      <c r="R74" s="38">
        <v>0</v>
      </c>
      <c r="S74" s="39" t="s">
        <v>34</v>
      </c>
      <c r="T74" s="30"/>
      <c r="U74" s="30"/>
      <c r="V74" s="35"/>
      <c r="W74" s="48"/>
      <c r="X74" s="48"/>
      <c r="Y74" s="40"/>
      <c r="Z74" s="41"/>
      <c r="AA74" s="42"/>
      <c r="AB74" s="43"/>
      <c r="AC74" s="35"/>
      <c r="AD74" s="35"/>
      <c r="AE74" s="44"/>
      <c r="AF74" s="41" t="s">
        <v>445</v>
      </c>
      <c r="AG74" s="41">
        <v>0</v>
      </c>
      <c r="AI74" s="46"/>
    </row>
    <row r="75" spans="1:35" s="45" customFormat="1" ht="24" x14ac:dyDescent="0.25">
      <c r="A75" s="29">
        <v>73</v>
      </c>
      <c r="B75" s="29" t="s">
        <v>407</v>
      </c>
      <c r="C75" s="29" t="s">
        <v>407</v>
      </c>
      <c r="D75" s="30">
        <v>0</v>
      </c>
      <c r="E75" s="30">
        <v>0</v>
      </c>
      <c r="F75" s="29"/>
      <c r="G75" s="31" t="s">
        <v>408</v>
      </c>
      <c r="H75" s="32" t="s">
        <v>638</v>
      </c>
      <c r="I75" s="30" t="s">
        <v>410</v>
      </c>
      <c r="J75" s="30" t="s">
        <v>569</v>
      </c>
      <c r="K75" s="30"/>
      <c r="L75" s="33" t="s">
        <v>639</v>
      </c>
      <c r="M75" s="35" t="s">
        <v>412</v>
      </c>
      <c r="N75" s="36" t="s">
        <v>640</v>
      </c>
      <c r="O75" s="37" t="s">
        <v>641</v>
      </c>
      <c r="P75" s="37" t="s">
        <v>415</v>
      </c>
      <c r="Q75" s="77" t="s">
        <v>642</v>
      </c>
      <c r="R75" s="38">
        <v>0</v>
      </c>
      <c r="S75" s="39" t="s">
        <v>34</v>
      </c>
      <c r="T75" s="30"/>
      <c r="U75" s="30"/>
      <c r="V75" s="47"/>
      <c r="W75" s="30" t="s">
        <v>421</v>
      </c>
      <c r="X75" s="133"/>
      <c r="Y75" s="30"/>
      <c r="Z75" s="41" t="s">
        <v>422</v>
      </c>
      <c r="AA75" s="42">
        <v>3135.4749999999999</v>
      </c>
      <c r="AB75" s="43" t="s">
        <v>424</v>
      </c>
      <c r="AC75" s="30"/>
      <c r="AD75" s="30"/>
      <c r="AE75" s="30"/>
      <c r="AF75" s="47" t="s">
        <v>445</v>
      </c>
      <c r="AG75" s="41">
        <v>0</v>
      </c>
      <c r="AI75" s="46"/>
    </row>
    <row r="76" spans="1:35" s="45" customFormat="1" x14ac:dyDescent="0.25">
      <c r="A76" s="29">
        <v>74</v>
      </c>
      <c r="B76" s="29" t="s">
        <v>407</v>
      </c>
      <c r="C76" s="30" t="s">
        <v>407</v>
      </c>
      <c r="D76" s="30">
        <v>0</v>
      </c>
      <c r="E76" s="30">
        <v>0</v>
      </c>
      <c r="F76" s="30"/>
      <c r="G76" s="31" t="s">
        <v>408</v>
      </c>
      <c r="H76" s="32" t="s">
        <v>643</v>
      </c>
      <c r="I76" s="29" t="s">
        <v>410</v>
      </c>
      <c r="J76" s="29"/>
      <c r="K76" s="29"/>
      <c r="L76" s="101" t="s">
        <v>644</v>
      </c>
      <c r="M76" s="35" t="s">
        <v>412</v>
      </c>
      <c r="N76" s="35" t="s">
        <v>645</v>
      </c>
      <c r="O76" s="35" t="s">
        <v>557</v>
      </c>
      <c r="P76" s="37" t="s">
        <v>415</v>
      </c>
      <c r="Q76" s="35" t="s">
        <v>645</v>
      </c>
      <c r="R76" s="38">
        <v>0</v>
      </c>
      <c r="S76" s="39" t="s">
        <v>34</v>
      </c>
      <c r="T76" s="40"/>
      <c r="U76" s="40"/>
      <c r="V76" s="35"/>
      <c r="W76" s="40"/>
      <c r="X76" s="40"/>
      <c r="Y76" s="40"/>
      <c r="Z76" s="41"/>
      <c r="AA76" s="42"/>
      <c r="AB76" s="43"/>
      <c r="AC76" s="35"/>
      <c r="AD76" s="35"/>
      <c r="AE76" s="44"/>
      <c r="AF76" s="47" t="s">
        <v>642</v>
      </c>
      <c r="AG76" s="41">
        <v>0</v>
      </c>
      <c r="AI76" s="46"/>
    </row>
    <row r="77" spans="1:35" s="45" customFormat="1" x14ac:dyDescent="0.25">
      <c r="A77" s="29">
        <v>75</v>
      </c>
      <c r="B77" s="29" t="s">
        <v>407</v>
      </c>
      <c r="C77" s="30" t="s">
        <v>407</v>
      </c>
      <c r="D77" s="30">
        <v>0</v>
      </c>
      <c r="E77" s="30">
        <v>0</v>
      </c>
      <c r="F77" s="30"/>
      <c r="G77" s="31" t="s">
        <v>408</v>
      </c>
      <c r="H77" s="32" t="s">
        <v>646</v>
      </c>
      <c r="I77" s="30" t="s">
        <v>410</v>
      </c>
      <c r="J77" s="30"/>
      <c r="K77" s="30"/>
      <c r="L77" s="101" t="s">
        <v>647</v>
      </c>
      <c r="M77" s="35" t="s">
        <v>412</v>
      </c>
      <c r="N77" s="36" t="s">
        <v>648</v>
      </c>
      <c r="O77" s="35" t="s">
        <v>557</v>
      </c>
      <c r="P77" s="37" t="s">
        <v>415</v>
      </c>
      <c r="Q77" s="36" t="s">
        <v>648</v>
      </c>
      <c r="R77" s="38">
        <v>0</v>
      </c>
      <c r="S77" s="39" t="s">
        <v>34</v>
      </c>
      <c r="T77" s="30"/>
      <c r="U77" s="30"/>
      <c r="V77" s="47"/>
      <c r="W77" s="30"/>
      <c r="X77" s="30"/>
      <c r="Y77" s="30"/>
      <c r="Z77" s="41"/>
      <c r="AA77" s="42"/>
      <c r="AB77" s="43"/>
      <c r="AC77" s="30"/>
      <c r="AD77" s="30"/>
      <c r="AE77" s="30"/>
      <c r="AF77" s="47" t="s">
        <v>642</v>
      </c>
      <c r="AG77" s="41">
        <v>0</v>
      </c>
      <c r="AI77" s="46"/>
    </row>
    <row r="78" spans="1:35" s="45" customFormat="1" x14ac:dyDescent="0.25">
      <c r="A78" s="29">
        <v>76</v>
      </c>
      <c r="B78" s="29" t="s">
        <v>407</v>
      </c>
      <c r="C78" s="30" t="s">
        <v>407</v>
      </c>
      <c r="D78" s="30">
        <v>0</v>
      </c>
      <c r="E78" s="30">
        <v>0</v>
      </c>
      <c r="F78" s="30"/>
      <c r="G78" s="31" t="s">
        <v>408</v>
      </c>
      <c r="H78" s="32" t="s">
        <v>649</v>
      </c>
      <c r="I78" s="29" t="s">
        <v>469</v>
      </c>
      <c r="J78" s="29"/>
      <c r="K78" s="29"/>
      <c r="L78" s="101" t="s">
        <v>650</v>
      </c>
      <c r="M78" s="35" t="s">
        <v>412</v>
      </c>
      <c r="N78" s="35" t="s">
        <v>651</v>
      </c>
      <c r="O78" s="35" t="s">
        <v>415</v>
      </c>
      <c r="P78" s="37" t="s">
        <v>415</v>
      </c>
      <c r="Q78" s="35" t="s">
        <v>651</v>
      </c>
      <c r="R78" s="38">
        <v>0</v>
      </c>
      <c r="S78" s="39" t="s">
        <v>34</v>
      </c>
      <c r="T78" s="40"/>
      <c r="U78" s="40"/>
      <c r="V78" s="35"/>
      <c r="W78" s="40"/>
      <c r="X78" s="40"/>
      <c r="Y78" s="40"/>
      <c r="Z78" s="41" t="s">
        <v>422</v>
      </c>
      <c r="AA78" s="42" t="s">
        <v>423</v>
      </c>
      <c r="AB78" s="43" t="s">
        <v>424</v>
      </c>
      <c r="AC78" s="35"/>
      <c r="AD78" s="35"/>
      <c r="AE78" s="44"/>
      <c r="AF78" s="47"/>
      <c r="AG78" s="41">
        <v>0</v>
      </c>
    </row>
    <row r="79" spans="1:35" s="45" customFormat="1" x14ac:dyDescent="0.25">
      <c r="A79" s="29">
        <v>77</v>
      </c>
      <c r="B79" s="29" t="s">
        <v>407</v>
      </c>
      <c r="C79" s="30" t="s">
        <v>407</v>
      </c>
      <c r="D79" s="30">
        <v>0</v>
      </c>
      <c r="E79" s="30">
        <v>0</v>
      </c>
      <c r="F79" s="30"/>
      <c r="G79" s="31" t="s">
        <v>408</v>
      </c>
      <c r="H79" s="32" t="s">
        <v>652</v>
      </c>
      <c r="I79" s="30" t="s">
        <v>469</v>
      </c>
      <c r="J79" s="30"/>
      <c r="K79" s="30"/>
      <c r="L79" s="101" t="s">
        <v>653</v>
      </c>
      <c r="M79" s="35" t="s">
        <v>412</v>
      </c>
      <c r="N79" s="36"/>
      <c r="O79" s="35"/>
      <c r="P79" s="37"/>
      <c r="Q79" s="36"/>
      <c r="R79" s="38">
        <v>0</v>
      </c>
      <c r="S79" s="39" t="s">
        <v>34</v>
      </c>
      <c r="T79" s="40"/>
      <c r="U79" s="40"/>
      <c r="V79" s="47"/>
      <c r="W79" s="30"/>
      <c r="X79" s="30"/>
      <c r="Y79" s="30"/>
      <c r="Z79" s="41"/>
      <c r="AA79" s="42"/>
      <c r="AB79" s="43"/>
      <c r="AC79" s="30"/>
      <c r="AD79" s="30"/>
      <c r="AE79" s="30"/>
      <c r="AF79" s="47"/>
      <c r="AG79" s="41">
        <v>0</v>
      </c>
    </row>
    <row r="80" spans="1:35" x14ac:dyDescent="0.25">
      <c r="A80" s="67">
        <v>78</v>
      </c>
      <c r="B80" s="67" t="s">
        <v>407</v>
      </c>
      <c r="C80" s="67"/>
      <c r="D80" s="67">
        <v>0</v>
      </c>
      <c r="E80" s="67">
        <v>0</v>
      </c>
      <c r="F80" s="67" t="s">
        <v>437</v>
      </c>
      <c r="G80" s="54" t="s">
        <v>438</v>
      </c>
      <c r="H80" s="68" t="s">
        <v>654</v>
      </c>
      <c r="I80" s="67" t="s">
        <v>410</v>
      </c>
      <c r="J80" s="67">
        <v>4.7</v>
      </c>
      <c r="K80" s="67"/>
      <c r="L80" s="70" t="s">
        <v>655</v>
      </c>
      <c r="M80" s="73" t="s">
        <v>546</v>
      </c>
      <c r="N80" s="56"/>
      <c r="O80" s="56"/>
      <c r="P80" s="59"/>
      <c r="Q80" s="56"/>
      <c r="R80" s="72">
        <v>1</v>
      </c>
      <c r="S80" s="60" t="s">
        <v>34</v>
      </c>
      <c r="T80" s="61" t="s">
        <v>410</v>
      </c>
      <c r="U80" s="61"/>
      <c r="V80" s="56"/>
      <c r="W80" s="134" t="s">
        <v>421</v>
      </c>
      <c r="X80" s="61"/>
      <c r="Y80" s="61"/>
      <c r="Z80" s="62"/>
      <c r="AA80" s="135"/>
      <c r="AB80" s="64"/>
      <c r="AC80" s="56"/>
      <c r="AD80" s="56"/>
      <c r="AE80" s="65"/>
      <c r="AF80" s="62" t="s">
        <v>420</v>
      </c>
      <c r="AG80" s="62">
        <v>1</v>
      </c>
      <c r="AI80" s="66"/>
    </row>
    <row r="81" spans="1:35" ht="24" x14ac:dyDescent="0.25">
      <c r="A81" s="53">
        <v>79</v>
      </c>
      <c r="B81" s="53"/>
      <c r="C81" s="53" t="s">
        <v>407</v>
      </c>
      <c r="D81" s="53">
        <v>1</v>
      </c>
      <c r="E81" s="53">
        <v>1</v>
      </c>
      <c r="F81" s="53" t="s">
        <v>437</v>
      </c>
      <c r="G81" s="54" t="s">
        <v>656</v>
      </c>
      <c r="H81" s="54" t="s">
        <v>654</v>
      </c>
      <c r="I81" s="53" t="s">
        <v>410</v>
      </c>
      <c r="J81" s="53">
        <v>9.6999999999999993</v>
      </c>
      <c r="K81" s="53"/>
      <c r="L81" s="70" t="s">
        <v>657</v>
      </c>
      <c r="M81" s="73" t="s">
        <v>546</v>
      </c>
      <c r="N81" s="56" t="s">
        <v>658</v>
      </c>
      <c r="O81" s="56" t="s">
        <v>415</v>
      </c>
      <c r="P81" s="59" t="s">
        <v>415</v>
      </c>
      <c r="Q81" s="56" t="s">
        <v>658</v>
      </c>
      <c r="R81" s="72">
        <v>1</v>
      </c>
      <c r="S81" s="60" t="s">
        <v>34</v>
      </c>
      <c r="T81" s="61" t="s">
        <v>410</v>
      </c>
      <c r="U81" s="134">
        <v>1004197</v>
      </c>
      <c r="V81" s="56"/>
      <c r="W81" s="134" t="s">
        <v>421</v>
      </c>
      <c r="X81" s="61"/>
      <c r="Y81" s="61"/>
      <c r="Z81" s="62" t="s">
        <v>422</v>
      </c>
      <c r="AA81" s="135" t="s">
        <v>423</v>
      </c>
      <c r="AB81" s="64" t="s">
        <v>424</v>
      </c>
      <c r="AC81" s="56"/>
      <c r="AD81" s="56"/>
      <c r="AE81" s="65"/>
      <c r="AF81" s="62" t="s">
        <v>426</v>
      </c>
      <c r="AG81" s="62">
        <v>1</v>
      </c>
      <c r="AI81" s="66"/>
    </row>
    <row r="82" spans="1:35" ht="24" x14ac:dyDescent="0.25">
      <c r="A82" s="67">
        <v>80</v>
      </c>
      <c r="B82" s="67" t="s">
        <v>407</v>
      </c>
      <c r="C82" s="53" t="s">
        <v>407</v>
      </c>
      <c r="D82" s="53">
        <v>1</v>
      </c>
      <c r="E82" s="53">
        <v>1</v>
      </c>
      <c r="F82" s="53" t="s">
        <v>430</v>
      </c>
      <c r="G82" s="54" t="s">
        <v>659</v>
      </c>
      <c r="H82" s="68" t="s">
        <v>660</v>
      </c>
      <c r="I82" s="67" t="s">
        <v>410</v>
      </c>
      <c r="J82" s="67"/>
      <c r="K82" s="67" t="s">
        <v>661</v>
      </c>
      <c r="L82" s="70" t="s">
        <v>662</v>
      </c>
      <c r="M82" s="73" t="s">
        <v>546</v>
      </c>
      <c r="N82" s="56" t="s">
        <v>663</v>
      </c>
      <c r="O82" s="58">
        <v>33592</v>
      </c>
      <c r="P82" s="59" t="s">
        <v>415</v>
      </c>
      <c r="Q82" s="56" t="s">
        <v>663</v>
      </c>
      <c r="R82" s="72">
        <v>1</v>
      </c>
      <c r="S82" s="60" t="s">
        <v>34</v>
      </c>
      <c r="T82" s="61" t="s">
        <v>410</v>
      </c>
      <c r="U82" s="61"/>
      <c r="V82" s="56"/>
      <c r="W82" s="58"/>
      <c r="X82" s="61"/>
      <c r="Y82" s="61"/>
      <c r="Z82" s="62"/>
      <c r="AA82" s="63"/>
      <c r="AB82" s="64"/>
      <c r="AC82" s="56"/>
      <c r="AD82" s="56"/>
      <c r="AE82" s="65"/>
      <c r="AF82" s="62" t="s">
        <v>664</v>
      </c>
      <c r="AG82" s="62">
        <v>1</v>
      </c>
      <c r="AI82" s="66"/>
    </row>
    <row r="83" spans="1:35" ht="24" x14ac:dyDescent="0.25">
      <c r="A83" s="67">
        <v>81</v>
      </c>
      <c r="B83" s="67" t="s">
        <v>407</v>
      </c>
      <c r="C83" s="53" t="s">
        <v>407</v>
      </c>
      <c r="D83" s="53">
        <v>1</v>
      </c>
      <c r="E83" s="53">
        <v>1</v>
      </c>
      <c r="F83" s="53" t="s">
        <v>430</v>
      </c>
      <c r="G83" s="54" t="s">
        <v>665</v>
      </c>
      <c r="H83" s="68" t="s">
        <v>666</v>
      </c>
      <c r="I83" s="53" t="s">
        <v>410</v>
      </c>
      <c r="J83" s="53"/>
      <c r="K83" s="53" t="s">
        <v>667</v>
      </c>
      <c r="L83" s="70" t="s">
        <v>668</v>
      </c>
      <c r="M83" s="73" t="s">
        <v>546</v>
      </c>
      <c r="N83" s="56" t="s">
        <v>669</v>
      </c>
      <c r="O83" s="58">
        <v>33592</v>
      </c>
      <c r="P83" s="59" t="s">
        <v>415</v>
      </c>
      <c r="Q83" s="56" t="s">
        <v>669</v>
      </c>
      <c r="R83" s="72">
        <v>1</v>
      </c>
      <c r="S83" s="60" t="s">
        <v>34</v>
      </c>
      <c r="T83" s="61" t="s">
        <v>410</v>
      </c>
      <c r="U83" s="61"/>
      <c r="V83" s="56"/>
      <c r="W83" s="58"/>
      <c r="X83" s="61"/>
      <c r="Y83" s="61"/>
      <c r="Z83" s="62"/>
      <c r="AA83" s="63"/>
      <c r="AB83" s="64"/>
      <c r="AC83" s="56"/>
      <c r="AD83" s="56"/>
      <c r="AE83" s="65"/>
      <c r="AF83" s="62" t="s">
        <v>664</v>
      </c>
      <c r="AG83" s="62">
        <v>1</v>
      </c>
      <c r="AI83" s="66"/>
    </row>
    <row r="84" spans="1:35" ht="24" x14ac:dyDescent="0.25">
      <c r="A84" s="67">
        <v>82</v>
      </c>
      <c r="B84" s="67" t="s">
        <v>407</v>
      </c>
      <c r="C84" s="53" t="s">
        <v>407</v>
      </c>
      <c r="D84" s="53">
        <v>1</v>
      </c>
      <c r="E84" s="53">
        <v>1</v>
      </c>
      <c r="F84" s="53" t="s">
        <v>430</v>
      </c>
      <c r="G84" s="54" t="s">
        <v>670</v>
      </c>
      <c r="H84" s="68" t="s">
        <v>671</v>
      </c>
      <c r="I84" s="67" t="s">
        <v>410</v>
      </c>
      <c r="J84" s="67"/>
      <c r="K84" s="67" t="s">
        <v>661</v>
      </c>
      <c r="L84" s="70" t="s">
        <v>662</v>
      </c>
      <c r="M84" s="73" t="s">
        <v>412</v>
      </c>
      <c r="N84" s="56" t="s">
        <v>663</v>
      </c>
      <c r="O84" s="58">
        <v>33592</v>
      </c>
      <c r="P84" s="59" t="s">
        <v>415</v>
      </c>
      <c r="Q84" s="56" t="s">
        <v>663</v>
      </c>
      <c r="R84" s="72">
        <v>1</v>
      </c>
      <c r="S84" s="60" t="s">
        <v>34</v>
      </c>
      <c r="T84" s="61" t="s">
        <v>410</v>
      </c>
      <c r="U84" s="61"/>
      <c r="V84" s="56"/>
      <c r="W84" s="58"/>
      <c r="X84" s="61"/>
      <c r="Y84" s="61"/>
      <c r="Z84" s="62"/>
      <c r="AA84" s="63"/>
      <c r="AB84" s="64"/>
      <c r="AC84" s="56"/>
      <c r="AD84" s="56"/>
      <c r="AE84" s="65"/>
      <c r="AF84" s="62" t="s">
        <v>664</v>
      </c>
      <c r="AG84" s="62">
        <v>1</v>
      </c>
      <c r="AI84" s="66"/>
    </row>
    <row r="85" spans="1:35" ht="24" x14ac:dyDescent="0.25">
      <c r="A85" s="67">
        <v>83</v>
      </c>
      <c r="B85" s="67" t="s">
        <v>407</v>
      </c>
      <c r="C85" s="53" t="s">
        <v>407</v>
      </c>
      <c r="D85" s="53">
        <v>1</v>
      </c>
      <c r="E85" s="53">
        <v>1</v>
      </c>
      <c r="F85" s="53" t="s">
        <v>430</v>
      </c>
      <c r="G85" s="54" t="s">
        <v>672</v>
      </c>
      <c r="H85" s="68" t="s">
        <v>673</v>
      </c>
      <c r="I85" s="53" t="s">
        <v>410</v>
      </c>
      <c r="J85" s="53"/>
      <c r="K85" s="53" t="s">
        <v>674</v>
      </c>
      <c r="L85" s="70" t="s">
        <v>675</v>
      </c>
      <c r="M85" s="73" t="s">
        <v>412</v>
      </c>
      <c r="N85" s="56" t="s">
        <v>676</v>
      </c>
      <c r="O85" s="58">
        <v>33592</v>
      </c>
      <c r="P85" s="59" t="s">
        <v>415</v>
      </c>
      <c r="Q85" s="56" t="s">
        <v>676</v>
      </c>
      <c r="R85" s="72">
        <v>1</v>
      </c>
      <c r="S85" s="60" t="s">
        <v>34</v>
      </c>
      <c r="T85" s="61" t="s">
        <v>410</v>
      </c>
      <c r="U85" s="61"/>
      <c r="V85" s="56"/>
      <c r="W85" s="58"/>
      <c r="X85" s="61"/>
      <c r="Y85" s="61"/>
      <c r="Z85" s="62"/>
      <c r="AA85" s="63"/>
      <c r="AB85" s="64"/>
      <c r="AC85" s="56"/>
      <c r="AD85" s="56"/>
      <c r="AE85" s="65"/>
      <c r="AF85" s="62" t="s">
        <v>664</v>
      </c>
      <c r="AG85" s="62">
        <v>1</v>
      </c>
      <c r="AI85" s="66"/>
    </row>
    <row r="86" spans="1:35" ht="24" x14ac:dyDescent="0.25">
      <c r="A86" s="67">
        <v>84</v>
      </c>
      <c r="B86" s="67" t="s">
        <v>407</v>
      </c>
      <c r="C86" s="53" t="s">
        <v>407</v>
      </c>
      <c r="D86" s="53">
        <v>1</v>
      </c>
      <c r="E86" s="53">
        <v>1</v>
      </c>
      <c r="F86" s="53" t="s">
        <v>430</v>
      </c>
      <c r="G86" s="54" t="s">
        <v>677</v>
      </c>
      <c r="H86" s="68" t="s">
        <v>678</v>
      </c>
      <c r="I86" s="67" t="s">
        <v>410</v>
      </c>
      <c r="J86" s="67"/>
      <c r="K86" s="67" t="s">
        <v>667</v>
      </c>
      <c r="L86" s="70" t="s">
        <v>668</v>
      </c>
      <c r="M86" s="73" t="s">
        <v>412</v>
      </c>
      <c r="N86" s="56" t="s">
        <v>669</v>
      </c>
      <c r="O86" s="58">
        <v>33592</v>
      </c>
      <c r="P86" s="59" t="s">
        <v>415</v>
      </c>
      <c r="Q86" s="56" t="s">
        <v>669</v>
      </c>
      <c r="R86" s="72">
        <v>1</v>
      </c>
      <c r="S86" s="60" t="s">
        <v>34</v>
      </c>
      <c r="T86" s="61" t="s">
        <v>410</v>
      </c>
      <c r="U86" s="61"/>
      <c r="V86" s="56"/>
      <c r="W86" s="58"/>
      <c r="X86" s="61"/>
      <c r="Y86" s="61"/>
      <c r="Z86" s="62"/>
      <c r="AA86" s="63"/>
      <c r="AB86" s="64"/>
      <c r="AC86" s="56"/>
      <c r="AD86" s="56"/>
      <c r="AE86" s="65"/>
      <c r="AF86" s="62" t="s">
        <v>664</v>
      </c>
      <c r="AG86" s="62">
        <v>1</v>
      </c>
      <c r="AI86" s="66"/>
    </row>
    <row r="87" spans="1:35" ht="24" x14ac:dyDescent="0.25">
      <c r="A87" s="67">
        <v>85</v>
      </c>
      <c r="B87" s="67" t="s">
        <v>407</v>
      </c>
      <c r="C87" s="53" t="s">
        <v>407</v>
      </c>
      <c r="D87" s="53">
        <v>1</v>
      </c>
      <c r="E87" s="53">
        <v>1</v>
      </c>
      <c r="F87" s="53" t="s">
        <v>430</v>
      </c>
      <c r="G87" s="54" t="s">
        <v>679</v>
      </c>
      <c r="H87" s="68" t="s">
        <v>680</v>
      </c>
      <c r="I87" s="53" t="s">
        <v>410</v>
      </c>
      <c r="J87" s="53"/>
      <c r="K87" s="53" t="s">
        <v>674</v>
      </c>
      <c r="L87" s="70" t="s">
        <v>675</v>
      </c>
      <c r="M87" s="56" t="s">
        <v>412</v>
      </c>
      <c r="N87" s="56" t="s">
        <v>676</v>
      </c>
      <c r="O87" s="58">
        <v>33592</v>
      </c>
      <c r="P87" s="59" t="s">
        <v>415</v>
      </c>
      <c r="Q87" s="56" t="s">
        <v>676</v>
      </c>
      <c r="R87" s="60">
        <v>1</v>
      </c>
      <c r="S87" s="60" t="s">
        <v>34</v>
      </c>
      <c r="T87" s="61" t="s">
        <v>410</v>
      </c>
      <c r="U87" s="61"/>
      <c r="V87" s="56"/>
      <c r="W87" s="61"/>
      <c r="X87" s="61"/>
      <c r="Y87" s="61"/>
      <c r="Z87" s="62"/>
      <c r="AA87" s="63"/>
      <c r="AB87" s="64"/>
      <c r="AC87" s="56"/>
      <c r="AD87" s="56"/>
      <c r="AE87" s="65"/>
      <c r="AF87" s="62" t="s">
        <v>664</v>
      </c>
      <c r="AG87" s="62">
        <v>1</v>
      </c>
      <c r="AI87" s="66"/>
    </row>
    <row r="88" spans="1:35" s="136" customFormat="1" ht="24" x14ac:dyDescent="0.25">
      <c r="A88" s="67">
        <v>86</v>
      </c>
      <c r="B88" s="67" t="s">
        <v>407</v>
      </c>
      <c r="C88" s="67" t="s">
        <v>407</v>
      </c>
      <c r="D88" s="67">
        <v>0</v>
      </c>
      <c r="E88" s="67">
        <v>1</v>
      </c>
      <c r="F88" s="67" t="s">
        <v>437</v>
      </c>
      <c r="G88" s="54" t="s">
        <v>681</v>
      </c>
      <c r="H88" s="68" t="s">
        <v>682</v>
      </c>
      <c r="I88" s="67" t="s">
        <v>410</v>
      </c>
      <c r="J88" s="67" t="s">
        <v>683</v>
      </c>
      <c r="K88" s="67"/>
      <c r="L88" s="70" t="s">
        <v>662</v>
      </c>
      <c r="M88" s="56" t="s">
        <v>412</v>
      </c>
      <c r="N88" s="56" t="s">
        <v>684</v>
      </c>
      <c r="O88" s="58">
        <v>33592</v>
      </c>
      <c r="P88" s="59" t="s">
        <v>415</v>
      </c>
      <c r="Q88" s="56" t="s">
        <v>684</v>
      </c>
      <c r="R88" s="60">
        <v>1</v>
      </c>
      <c r="S88" s="60" t="s">
        <v>34</v>
      </c>
      <c r="T88" s="61" t="s">
        <v>410</v>
      </c>
      <c r="U88" s="58" t="s">
        <v>685</v>
      </c>
      <c r="V88" s="56"/>
      <c r="W88" s="58"/>
      <c r="X88" s="61"/>
      <c r="Y88" s="61"/>
      <c r="Z88" s="62" t="s">
        <v>422</v>
      </c>
      <c r="AA88" s="69">
        <v>16419.987499999999</v>
      </c>
      <c r="AB88" s="64" t="s">
        <v>424</v>
      </c>
      <c r="AC88" s="56"/>
      <c r="AD88" s="56"/>
      <c r="AE88" s="65"/>
      <c r="AF88" s="62" t="s">
        <v>664</v>
      </c>
      <c r="AG88" s="62">
        <v>1</v>
      </c>
      <c r="AI88" s="66"/>
    </row>
    <row r="89" spans="1:35" s="136" customFormat="1" ht="24" x14ac:dyDescent="0.25">
      <c r="A89" s="67">
        <v>87</v>
      </c>
      <c r="B89" s="67" t="s">
        <v>407</v>
      </c>
      <c r="C89" s="67" t="s">
        <v>407</v>
      </c>
      <c r="D89" s="67">
        <v>0</v>
      </c>
      <c r="E89" s="67">
        <v>1</v>
      </c>
      <c r="F89" s="67" t="s">
        <v>437</v>
      </c>
      <c r="G89" s="54" t="s">
        <v>686</v>
      </c>
      <c r="H89" s="68" t="s">
        <v>687</v>
      </c>
      <c r="I89" s="53" t="s">
        <v>410</v>
      </c>
      <c r="J89" s="53" t="s">
        <v>683</v>
      </c>
      <c r="K89" s="53"/>
      <c r="L89" s="70" t="s">
        <v>668</v>
      </c>
      <c r="M89" s="56" t="s">
        <v>412</v>
      </c>
      <c r="N89" s="56" t="s">
        <v>669</v>
      </c>
      <c r="O89" s="58">
        <v>33592</v>
      </c>
      <c r="P89" s="59" t="s">
        <v>415</v>
      </c>
      <c r="Q89" s="56" t="s">
        <v>669</v>
      </c>
      <c r="R89" s="60">
        <v>1</v>
      </c>
      <c r="S89" s="60" t="s">
        <v>34</v>
      </c>
      <c r="T89" s="61" t="s">
        <v>410</v>
      </c>
      <c r="U89" s="58" t="s">
        <v>688</v>
      </c>
      <c r="V89" s="56"/>
      <c r="W89" s="58"/>
      <c r="X89" s="61"/>
      <c r="Y89" s="61"/>
      <c r="Z89" s="62" t="s">
        <v>422</v>
      </c>
      <c r="AA89" s="69">
        <v>4703.2124999999996</v>
      </c>
      <c r="AB89" s="64" t="s">
        <v>424</v>
      </c>
      <c r="AC89" s="56"/>
      <c r="AD89" s="56"/>
      <c r="AE89" s="65"/>
      <c r="AF89" s="62" t="s">
        <v>664</v>
      </c>
      <c r="AG89" s="62">
        <v>1</v>
      </c>
      <c r="AI89" s="66"/>
    </row>
    <row r="90" spans="1:35" s="136" customFormat="1" ht="24" x14ac:dyDescent="0.25">
      <c r="A90" s="67">
        <v>88</v>
      </c>
      <c r="B90" s="67" t="s">
        <v>407</v>
      </c>
      <c r="C90" s="67" t="s">
        <v>407</v>
      </c>
      <c r="D90" s="67">
        <v>0</v>
      </c>
      <c r="E90" s="67">
        <v>1</v>
      </c>
      <c r="F90" s="67" t="s">
        <v>437</v>
      </c>
      <c r="G90" s="54" t="s">
        <v>689</v>
      </c>
      <c r="H90" s="68" t="s">
        <v>690</v>
      </c>
      <c r="I90" s="67" t="s">
        <v>410</v>
      </c>
      <c r="J90" s="67" t="s">
        <v>683</v>
      </c>
      <c r="K90" s="67"/>
      <c r="L90" s="70" t="s">
        <v>662</v>
      </c>
      <c r="M90" s="56" t="s">
        <v>412</v>
      </c>
      <c r="N90" s="56" t="s">
        <v>684</v>
      </c>
      <c r="O90" s="58">
        <v>33592</v>
      </c>
      <c r="P90" s="59" t="s">
        <v>415</v>
      </c>
      <c r="Q90" s="56" t="s">
        <v>684</v>
      </c>
      <c r="R90" s="60">
        <v>1</v>
      </c>
      <c r="S90" s="60" t="s">
        <v>34</v>
      </c>
      <c r="T90" s="61" t="s">
        <v>410</v>
      </c>
      <c r="U90" s="58" t="s">
        <v>691</v>
      </c>
      <c r="V90" s="56"/>
      <c r="W90" s="58"/>
      <c r="X90" s="61"/>
      <c r="Y90" s="61"/>
      <c r="Z90" s="62" t="s">
        <v>422</v>
      </c>
      <c r="AA90" s="69">
        <v>16419.987499999999</v>
      </c>
      <c r="AB90" s="64" t="s">
        <v>424</v>
      </c>
      <c r="AC90" s="56"/>
      <c r="AD90" s="56"/>
      <c r="AE90" s="65"/>
      <c r="AF90" s="62" t="s">
        <v>664</v>
      </c>
      <c r="AG90" s="62">
        <v>1</v>
      </c>
      <c r="AI90" s="66"/>
    </row>
    <row r="91" spans="1:35" s="136" customFormat="1" ht="24" x14ac:dyDescent="0.25">
      <c r="A91" s="67">
        <v>89</v>
      </c>
      <c r="B91" s="67" t="s">
        <v>407</v>
      </c>
      <c r="C91" s="67" t="s">
        <v>407</v>
      </c>
      <c r="D91" s="67">
        <v>0</v>
      </c>
      <c r="E91" s="67">
        <v>1</v>
      </c>
      <c r="F91" s="67" t="s">
        <v>437</v>
      </c>
      <c r="G91" s="54" t="s">
        <v>692</v>
      </c>
      <c r="H91" s="68" t="s">
        <v>693</v>
      </c>
      <c r="I91" s="53" t="s">
        <v>410</v>
      </c>
      <c r="J91" s="53" t="s">
        <v>694</v>
      </c>
      <c r="K91" s="53"/>
      <c r="L91" s="70" t="s">
        <v>675</v>
      </c>
      <c r="M91" s="56" t="s">
        <v>412</v>
      </c>
      <c r="N91" s="56" t="s">
        <v>695</v>
      </c>
      <c r="O91" s="58">
        <v>33592</v>
      </c>
      <c r="P91" s="59" t="s">
        <v>415</v>
      </c>
      <c r="Q91" s="56" t="s">
        <v>695</v>
      </c>
      <c r="R91" s="60">
        <v>1</v>
      </c>
      <c r="S91" s="60" t="s">
        <v>34</v>
      </c>
      <c r="T91" s="61" t="s">
        <v>410</v>
      </c>
      <c r="U91" s="58" t="s">
        <v>696</v>
      </c>
      <c r="V91" s="56"/>
      <c r="W91" s="58"/>
      <c r="X91" s="61"/>
      <c r="Y91" s="61"/>
      <c r="Z91" s="62" t="s">
        <v>422</v>
      </c>
      <c r="AA91" s="69">
        <v>15594.862499999999</v>
      </c>
      <c r="AB91" s="64" t="s">
        <v>424</v>
      </c>
      <c r="AC91" s="56"/>
      <c r="AD91" s="56"/>
      <c r="AE91" s="65"/>
      <c r="AF91" s="62" t="s">
        <v>664</v>
      </c>
      <c r="AG91" s="62">
        <v>1</v>
      </c>
      <c r="AI91" s="66"/>
    </row>
    <row r="92" spans="1:35" s="136" customFormat="1" ht="24" x14ac:dyDescent="0.25">
      <c r="A92" s="67">
        <v>90</v>
      </c>
      <c r="B92" s="67" t="s">
        <v>407</v>
      </c>
      <c r="C92" s="67" t="s">
        <v>407</v>
      </c>
      <c r="D92" s="67">
        <v>0</v>
      </c>
      <c r="E92" s="67">
        <v>1</v>
      </c>
      <c r="F92" s="67" t="s">
        <v>437</v>
      </c>
      <c r="G92" s="54" t="s">
        <v>697</v>
      </c>
      <c r="H92" s="68" t="s">
        <v>698</v>
      </c>
      <c r="I92" s="67" t="s">
        <v>410</v>
      </c>
      <c r="J92" s="67" t="s">
        <v>683</v>
      </c>
      <c r="K92" s="67"/>
      <c r="L92" s="70" t="s">
        <v>668</v>
      </c>
      <c r="M92" s="56" t="s">
        <v>412</v>
      </c>
      <c r="N92" s="56" t="s">
        <v>669</v>
      </c>
      <c r="O92" s="58">
        <v>33592</v>
      </c>
      <c r="P92" s="59" t="s">
        <v>415</v>
      </c>
      <c r="Q92" s="56" t="s">
        <v>669</v>
      </c>
      <c r="R92" s="60">
        <v>1</v>
      </c>
      <c r="S92" s="60" t="s">
        <v>34</v>
      </c>
      <c r="T92" s="61" t="s">
        <v>410</v>
      </c>
      <c r="U92" s="58" t="s">
        <v>699</v>
      </c>
      <c r="V92" s="56"/>
      <c r="W92" s="58"/>
      <c r="X92" s="61"/>
      <c r="Y92" s="61"/>
      <c r="Z92" s="62" t="s">
        <v>422</v>
      </c>
      <c r="AA92" s="69">
        <v>4703.2124999999996</v>
      </c>
      <c r="AB92" s="64" t="s">
        <v>424</v>
      </c>
      <c r="AC92" s="56"/>
      <c r="AD92" s="56"/>
      <c r="AE92" s="65"/>
      <c r="AF92" s="62" t="s">
        <v>664</v>
      </c>
      <c r="AG92" s="62">
        <v>1</v>
      </c>
      <c r="AI92" s="66"/>
    </row>
    <row r="93" spans="1:35" s="136" customFormat="1" ht="24" x14ac:dyDescent="0.25">
      <c r="A93" s="67">
        <v>91</v>
      </c>
      <c r="B93" s="67" t="s">
        <v>407</v>
      </c>
      <c r="C93" s="67" t="s">
        <v>407</v>
      </c>
      <c r="D93" s="67">
        <v>0</v>
      </c>
      <c r="E93" s="67">
        <v>1</v>
      </c>
      <c r="F93" s="67" t="s">
        <v>437</v>
      </c>
      <c r="G93" s="54" t="s">
        <v>700</v>
      </c>
      <c r="H93" s="68" t="s">
        <v>701</v>
      </c>
      <c r="I93" s="53" t="s">
        <v>410</v>
      </c>
      <c r="J93" s="53" t="s">
        <v>694</v>
      </c>
      <c r="K93" s="53"/>
      <c r="L93" s="70" t="s">
        <v>675</v>
      </c>
      <c r="M93" s="56" t="s">
        <v>412</v>
      </c>
      <c r="N93" s="56" t="s">
        <v>695</v>
      </c>
      <c r="O93" s="58">
        <v>33592</v>
      </c>
      <c r="P93" s="59" t="s">
        <v>415</v>
      </c>
      <c r="Q93" s="56" t="s">
        <v>695</v>
      </c>
      <c r="R93" s="60">
        <v>1</v>
      </c>
      <c r="S93" s="60" t="s">
        <v>34</v>
      </c>
      <c r="T93" s="61" t="s">
        <v>410</v>
      </c>
      <c r="U93" s="58" t="s">
        <v>702</v>
      </c>
      <c r="V93" s="56"/>
      <c r="W93" s="58"/>
      <c r="X93" s="61"/>
      <c r="Y93" s="61"/>
      <c r="Z93" s="62" t="s">
        <v>422</v>
      </c>
      <c r="AA93" s="69">
        <v>15594.862499999999</v>
      </c>
      <c r="AB93" s="64" t="s">
        <v>424</v>
      </c>
      <c r="AC93" s="56"/>
      <c r="AD93" s="56"/>
      <c r="AE93" s="65"/>
      <c r="AF93" s="62" t="s">
        <v>664</v>
      </c>
      <c r="AG93" s="62">
        <v>1</v>
      </c>
      <c r="AI93" s="66"/>
    </row>
    <row r="94" spans="1:35" ht="24" x14ac:dyDescent="0.25">
      <c r="A94" s="67">
        <v>92</v>
      </c>
      <c r="B94" s="67" t="s">
        <v>407</v>
      </c>
      <c r="C94" s="67"/>
      <c r="D94" s="67">
        <v>0</v>
      </c>
      <c r="E94" s="67">
        <v>0</v>
      </c>
      <c r="F94" s="67" t="s">
        <v>437</v>
      </c>
      <c r="G94" s="54" t="s">
        <v>438</v>
      </c>
      <c r="H94" s="68" t="s">
        <v>703</v>
      </c>
      <c r="I94" s="67" t="s">
        <v>410</v>
      </c>
      <c r="J94" s="67">
        <v>4.0999999999999996</v>
      </c>
      <c r="K94" s="67"/>
      <c r="L94" s="70" t="s">
        <v>704</v>
      </c>
      <c r="M94" s="56" t="s">
        <v>412</v>
      </c>
      <c r="N94" s="56" t="s">
        <v>705</v>
      </c>
      <c r="O94" s="56" t="s">
        <v>557</v>
      </c>
      <c r="P94" s="59" t="s">
        <v>415</v>
      </c>
      <c r="Q94" s="56" t="s">
        <v>705</v>
      </c>
      <c r="R94" s="60">
        <v>1</v>
      </c>
      <c r="S94" s="60" t="s">
        <v>34</v>
      </c>
      <c r="T94" s="61" t="s">
        <v>410</v>
      </c>
      <c r="U94" s="61"/>
      <c r="V94" s="56"/>
      <c r="W94" s="58"/>
      <c r="X94" s="61"/>
      <c r="Y94" s="61"/>
      <c r="Z94" s="62" t="s">
        <v>422</v>
      </c>
      <c r="AA94" s="69">
        <v>29390.952499999996</v>
      </c>
      <c r="AB94" s="64" t="s">
        <v>424</v>
      </c>
      <c r="AC94" s="56"/>
      <c r="AD94" s="56"/>
      <c r="AE94" s="65"/>
      <c r="AF94" s="62" t="s">
        <v>664</v>
      </c>
      <c r="AG94" s="62">
        <v>1</v>
      </c>
      <c r="AI94" s="66"/>
    </row>
    <row r="95" spans="1:35" ht="24" x14ac:dyDescent="0.25">
      <c r="A95" s="67">
        <v>93</v>
      </c>
      <c r="B95" s="67" t="s">
        <v>407</v>
      </c>
      <c r="C95" s="67"/>
      <c r="D95" s="67">
        <v>0</v>
      </c>
      <c r="E95" s="67">
        <v>0</v>
      </c>
      <c r="F95" s="67" t="s">
        <v>437</v>
      </c>
      <c r="G95" s="54" t="s">
        <v>438</v>
      </c>
      <c r="H95" s="68" t="s">
        <v>706</v>
      </c>
      <c r="I95" s="53" t="s">
        <v>410</v>
      </c>
      <c r="J95" s="67">
        <v>4.0999999999999996</v>
      </c>
      <c r="K95" s="53"/>
      <c r="L95" s="70" t="s">
        <v>707</v>
      </c>
      <c r="M95" s="56" t="s">
        <v>412</v>
      </c>
      <c r="N95" s="56" t="s">
        <v>708</v>
      </c>
      <c r="O95" s="56" t="s">
        <v>557</v>
      </c>
      <c r="P95" s="59" t="s">
        <v>415</v>
      </c>
      <c r="Q95" s="56" t="s">
        <v>708</v>
      </c>
      <c r="R95" s="60">
        <v>1</v>
      </c>
      <c r="S95" s="60" t="s">
        <v>34</v>
      </c>
      <c r="T95" s="61" t="s">
        <v>410</v>
      </c>
      <c r="U95" s="61"/>
      <c r="V95" s="56"/>
      <c r="W95" s="58"/>
      <c r="X95" s="61"/>
      <c r="Y95" s="61"/>
      <c r="Z95" s="62" t="s">
        <v>422</v>
      </c>
      <c r="AA95" s="69">
        <v>5445.8249999999998</v>
      </c>
      <c r="AB95" s="64" t="s">
        <v>424</v>
      </c>
      <c r="AC95" s="56"/>
      <c r="AD95" s="56"/>
      <c r="AE95" s="65"/>
      <c r="AF95" s="56" t="s">
        <v>664</v>
      </c>
      <c r="AG95" s="62">
        <v>1</v>
      </c>
      <c r="AI95" s="66"/>
    </row>
    <row r="96" spans="1:35" ht="24" x14ac:dyDescent="0.25">
      <c r="A96" s="67">
        <v>94</v>
      </c>
      <c r="B96" s="67" t="s">
        <v>407</v>
      </c>
      <c r="C96" s="67"/>
      <c r="D96" s="67">
        <v>0</v>
      </c>
      <c r="E96" s="67">
        <v>0</v>
      </c>
      <c r="F96" s="67" t="s">
        <v>430</v>
      </c>
      <c r="G96" s="54" t="s">
        <v>438</v>
      </c>
      <c r="H96" s="68" t="s">
        <v>709</v>
      </c>
      <c r="I96" s="67" t="s">
        <v>410</v>
      </c>
      <c r="J96" s="67"/>
      <c r="K96" s="67"/>
      <c r="L96" s="70" t="s">
        <v>710</v>
      </c>
      <c r="M96" s="56" t="s">
        <v>412</v>
      </c>
      <c r="N96" s="56" t="s">
        <v>711</v>
      </c>
      <c r="O96" s="56" t="s">
        <v>557</v>
      </c>
      <c r="P96" s="59" t="s">
        <v>415</v>
      </c>
      <c r="Q96" s="56" t="s">
        <v>711</v>
      </c>
      <c r="R96" s="60">
        <v>1</v>
      </c>
      <c r="S96" s="60" t="s">
        <v>34</v>
      </c>
      <c r="T96" s="61" t="s">
        <v>410</v>
      </c>
      <c r="U96" s="61"/>
      <c r="V96" s="56"/>
      <c r="W96" s="58"/>
      <c r="X96" s="61"/>
      <c r="Y96" s="61"/>
      <c r="Z96" s="62" t="s">
        <v>422</v>
      </c>
      <c r="AA96" s="69">
        <v>1113.9187499999998</v>
      </c>
      <c r="AB96" s="64" t="s">
        <v>424</v>
      </c>
      <c r="AC96" s="56"/>
      <c r="AD96" s="56"/>
      <c r="AE96" s="65"/>
      <c r="AF96" s="62" t="s">
        <v>664</v>
      </c>
      <c r="AG96" s="62">
        <v>1</v>
      </c>
      <c r="AI96" s="66"/>
    </row>
    <row r="97" spans="1:35" ht="24" x14ac:dyDescent="0.25">
      <c r="A97" s="67">
        <v>95</v>
      </c>
      <c r="B97" s="67" t="s">
        <v>407</v>
      </c>
      <c r="C97" s="67"/>
      <c r="D97" s="67">
        <v>0</v>
      </c>
      <c r="E97" s="67">
        <v>0</v>
      </c>
      <c r="F97" s="67" t="s">
        <v>437</v>
      </c>
      <c r="G97" s="54" t="s">
        <v>438</v>
      </c>
      <c r="H97" s="68" t="s">
        <v>712</v>
      </c>
      <c r="I97" s="53" t="s">
        <v>410</v>
      </c>
      <c r="J97" s="67">
        <v>4.0999999999999996</v>
      </c>
      <c r="K97" s="53"/>
      <c r="L97" s="70" t="s">
        <v>713</v>
      </c>
      <c r="M97" s="56" t="s">
        <v>412</v>
      </c>
      <c r="N97" s="56" t="s">
        <v>714</v>
      </c>
      <c r="O97" s="56" t="s">
        <v>557</v>
      </c>
      <c r="P97" s="59" t="s">
        <v>415</v>
      </c>
      <c r="Q97" s="56" t="s">
        <v>714</v>
      </c>
      <c r="R97" s="60">
        <v>1</v>
      </c>
      <c r="S97" s="60" t="s">
        <v>34</v>
      </c>
      <c r="T97" s="61" t="s">
        <v>410</v>
      </c>
      <c r="U97" s="61"/>
      <c r="V97" s="56"/>
      <c r="W97" s="58"/>
      <c r="X97" s="61"/>
      <c r="Y97" s="61"/>
      <c r="Z97" s="62" t="s">
        <v>422</v>
      </c>
      <c r="AA97" s="69">
        <v>239.28624999999997</v>
      </c>
      <c r="AB97" s="64" t="s">
        <v>424</v>
      </c>
      <c r="AC97" s="56"/>
      <c r="AD97" s="56"/>
      <c r="AE97" s="65"/>
      <c r="AF97" s="62" t="s">
        <v>664</v>
      </c>
      <c r="AG97" s="62">
        <v>1</v>
      </c>
      <c r="AI97" s="66"/>
    </row>
    <row r="98" spans="1:35" ht="24" x14ac:dyDescent="0.25">
      <c r="A98" s="67">
        <v>96</v>
      </c>
      <c r="B98" s="67" t="s">
        <v>407</v>
      </c>
      <c r="C98" s="67"/>
      <c r="D98" s="67">
        <v>0</v>
      </c>
      <c r="E98" s="67">
        <v>0</v>
      </c>
      <c r="F98" s="67" t="s">
        <v>437</v>
      </c>
      <c r="G98" s="54" t="s">
        <v>438</v>
      </c>
      <c r="H98" s="68" t="s">
        <v>715</v>
      </c>
      <c r="I98" s="67" t="s">
        <v>410</v>
      </c>
      <c r="J98" s="67">
        <v>4.0999999999999996</v>
      </c>
      <c r="K98" s="67"/>
      <c r="L98" s="70" t="s">
        <v>713</v>
      </c>
      <c r="M98" s="56" t="s">
        <v>412</v>
      </c>
      <c r="N98" s="56" t="s">
        <v>714</v>
      </c>
      <c r="O98" s="56" t="s">
        <v>557</v>
      </c>
      <c r="P98" s="59" t="s">
        <v>415</v>
      </c>
      <c r="Q98" s="56" t="s">
        <v>714</v>
      </c>
      <c r="R98" s="60">
        <v>1</v>
      </c>
      <c r="S98" s="60" t="s">
        <v>34</v>
      </c>
      <c r="T98" s="61" t="s">
        <v>410</v>
      </c>
      <c r="U98" s="61"/>
      <c r="V98" s="137"/>
      <c r="W98" s="58"/>
      <c r="X98" s="61"/>
      <c r="Y98" s="61"/>
      <c r="Z98" s="62" t="s">
        <v>422</v>
      </c>
      <c r="AA98" s="69">
        <v>239.28624999999997</v>
      </c>
      <c r="AB98" s="64" t="s">
        <v>424</v>
      </c>
      <c r="AC98" s="56"/>
      <c r="AD98" s="56"/>
      <c r="AE98" s="65"/>
      <c r="AF98" s="62" t="s">
        <v>664</v>
      </c>
      <c r="AG98" s="62">
        <v>1</v>
      </c>
      <c r="AI98" s="66"/>
    </row>
    <row r="99" spans="1:35" ht="24" x14ac:dyDescent="0.25">
      <c r="A99" s="67">
        <v>97</v>
      </c>
      <c r="B99" s="67" t="s">
        <v>407</v>
      </c>
      <c r="C99" s="67"/>
      <c r="D99" s="67">
        <v>0</v>
      </c>
      <c r="E99" s="67">
        <v>0</v>
      </c>
      <c r="F99" s="67" t="s">
        <v>437</v>
      </c>
      <c r="G99" s="54" t="s">
        <v>438</v>
      </c>
      <c r="H99" s="68" t="s">
        <v>716</v>
      </c>
      <c r="I99" s="53" t="s">
        <v>410</v>
      </c>
      <c r="J99" s="67">
        <v>4.0999999999999996</v>
      </c>
      <c r="K99" s="53"/>
      <c r="L99" s="70" t="s">
        <v>713</v>
      </c>
      <c r="M99" s="56" t="s">
        <v>412</v>
      </c>
      <c r="N99" s="56" t="s">
        <v>714</v>
      </c>
      <c r="O99" s="56" t="s">
        <v>557</v>
      </c>
      <c r="P99" s="59" t="s">
        <v>415</v>
      </c>
      <c r="Q99" s="56" t="s">
        <v>714</v>
      </c>
      <c r="R99" s="60">
        <v>1</v>
      </c>
      <c r="S99" s="60" t="s">
        <v>34</v>
      </c>
      <c r="T99" s="61" t="s">
        <v>410</v>
      </c>
      <c r="U99" s="61"/>
      <c r="V99" s="56"/>
      <c r="W99" s="58"/>
      <c r="X99" s="61"/>
      <c r="Y99" s="61"/>
      <c r="Z99" s="62" t="s">
        <v>422</v>
      </c>
      <c r="AA99" s="69">
        <v>239.28624999999997</v>
      </c>
      <c r="AB99" s="64" t="s">
        <v>424</v>
      </c>
      <c r="AC99" s="56"/>
      <c r="AD99" s="56"/>
      <c r="AE99" s="65"/>
      <c r="AF99" s="62" t="s">
        <v>664</v>
      </c>
      <c r="AG99" s="62">
        <v>1</v>
      </c>
      <c r="AI99" s="66"/>
    </row>
    <row r="100" spans="1:35" ht="24" x14ac:dyDescent="0.25">
      <c r="A100" s="67">
        <v>98</v>
      </c>
      <c r="B100" s="67" t="s">
        <v>407</v>
      </c>
      <c r="C100" s="67"/>
      <c r="D100" s="67">
        <v>0</v>
      </c>
      <c r="E100" s="67">
        <v>0</v>
      </c>
      <c r="F100" s="67" t="s">
        <v>437</v>
      </c>
      <c r="G100" s="54" t="s">
        <v>438</v>
      </c>
      <c r="H100" s="68" t="s">
        <v>717</v>
      </c>
      <c r="I100" s="67" t="s">
        <v>410</v>
      </c>
      <c r="J100" s="67">
        <v>4.0999999999999996</v>
      </c>
      <c r="K100" s="67"/>
      <c r="L100" s="70" t="s">
        <v>704</v>
      </c>
      <c r="M100" s="56" t="s">
        <v>412</v>
      </c>
      <c r="N100" s="56" t="s">
        <v>705</v>
      </c>
      <c r="O100" s="56" t="s">
        <v>557</v>
      </c>
      <c r="P100" s="59" t="s">
        <v>415</v>
      </c>
      <c r="Q100" s="56" t="s">
        <v>705</v>
      </c>
      <c r="R100" s="60">
        <v>1</v>
      </c>
      <c r="S100" s="60" t="s">
        <v>34</v>
      </c>
      <c r="T100" s="61" t="s">
        <v>410</v>
      </c>
      <c r="U100" s="61"/>
      <c r="V100" s="56"/>
      <c r="W100" s="58"/>
      <c r="X100" s="61"/>
      <c r="Y100" s="60"/>
      <c r="Z100" s="62" t="s">
        <v>422</v>
      </c>
      <c r="AA100" s="69">
        <v>29390.952499999996</v>
      </c>
      <c r="AB100" s="64" t="s">
        <v>424</v>
      </c>
      <c r="AC100" s="56"/>
      <c r="AD100" s="56"/>
      <c r="AE100" s="65"/>
      <c r="AF100" s="62" t="s">
        <v>664</v>
      </c>
      <c r="AG100" s="62">
        <v>1</v>
      </c>
      <c r="AI100" s="66"/>
    </row>
    <row r="101" spans="1:35" ht="24" x14ac:dyDescent="0.25">
      <c r="A101" s="67">
        <v>99</v>
      </c>
      <c r="B101" s="67" t="s">
        <v>407</v>
      </c>
      <c r="C101" s="67"/>
      <c r="D101" s="67">
        <v>0</v>
      </c>
      <c r="E101" s="67">
        <v>0</v>
      </c>
      <c r="F101" s="67" t="s">
        <v>437</v>
      </c>
      <c r="G101" s="54" t="s">
        <v>438</v>
      </c>
      <c r="H101" s="68" t="s">
        <v>718</v>
      </c>
      <c r="I101" s="53" t="s">
        <v>410</v>
      </c>
      <c r="J101" s="67">
        <v>4.0999999999999996</v>
      </c>
      <c r="K101" s="53"/>
      <c r="L101" s="70" t="s">
        <v>707</v>
      </c>
      <c r="M101" s="56" t="s">
        <v>412</v>
      </c>
      <c r="N101" s="56" t="s">
        <v>708</v>
      </c>
      <c r="O101" s="56" t="s">
        <v>557</v>
      </c>
      <c r="P101" s="59" t="s">
        <v>415</v>
      </c>
      <c r="Q101" s="56" t="s">
        <v>708</v>
      </c>
      <c r="R101" s="60">
        <v>1</v>
      </c>
      <c r="S101" s="60" t="s">
        <v>34</v>
      </c>
      <c r="T101" s="61" t="s">
        <v>410</v>
      </c>
      <c r="U101" s="61"/>
      <c r="V101" s="53"/>
      <c r="W101" s="58"/>
      <c r="X101" s="61"/>
      <c r="Y101" s="60"/>
      <c r="Z101" s="62" t="s">
        <v>422</v>
      </c>
      <c r="AA101" s="69">
        <v>5445.8249999999998</v>
      </c>
      <c r="AB101" s="64" t="s">
        <v>424</v>
      </c>
      <c r="AC101" s="56"/>
      <c r="AD101" s="56"/>
      <c r="AE101" s="65"/>
      <c r="AF101" s="56" t="s">
        <v>664</v>
      </c>
      <c r="AG101" s="62">
        <v>1</v>
      </c>
      <c r="AI101" s="66"/>
    </row>
    <row r="102" spans="1:35" ht="24" x14ac:dyDescent="0.25">
      <c r="A102" s="67">
        <v>100</v>
      </c>
      <c r="B102" s="67" t="s">
        <v>407</v>
      </c>
      <c r="C102" s="67"/>
      <c r="D102" s="67">
        <v>0</v>
      </c>
      <c r="E102" s="67">
        <v>0</v>
      </c>
      <c r="F102" s="67" t="s">
        <v>430</v>
      </c>
      <c r="G102" s="54" t="s">
        <v>438</v>
      </c>
      <c r="H102" s="68" t="s">
        <v>719</v>
      </c>
      <c r="I102" s="67" t="s">
        <v>410</v>
      </c>
      <c r="J102" s="67"/>
      <c r="K102" s="67"/>
      <c r="L102" s="70" t="s">
        <v>710</v>
      </c>
      <c r="M102" s="56" t="s">
        <v>546</v>
      </c>
      <c r="N102" s="56" t="s">
        <v>711</v>
      </c>
      <c r="O102" s="56" t="s">
        <v>557</v>
      </c>
      <c r="P102" s="59" t="s">
        <v>415</v>
      </c>
      <c r="Q102" s="56" t="s">
        <v>711</v>
      </c>
      <c r="R102" s="60">
        <v>1</v>
      </c>
      <c r="S102" s="60" t="s">
        <v>34</v>
      </c>
      <c r="T102" s="61" t="s">
        <v>410</v>
      </c>
      <c r="U102" s="61"/>
      <c r="V102" s="53"/>
      <c r="W102" s="58"/>
      <c r="X102" s="61"/>
      <c r="Y102" s="60"/>
      <c r="Z102" s="62" t="s">
        <v>422</v>
      </c>
      <c r="AA102" s="69">
        <v>1113.9187499999998</v>
      </c>
      <c r="AB102" s="64" t="s">
        <v>424</v>
      </c>
      <c r="AC102" s="56"/>
      <c r="AD102" s="56"/>
      <c r="AE102" s="65"/>
      <c r="AF102" s="62" t="s">
        <v>664</v>
      </c>
      <c r="AG102" s="62">
        <v>1</v>
      </c>
      <c r="AI102" s="66"/>
    </row>
    <row r="103" spans="1:35" ht="24" x14ac:dyDescent="0.25">
      <c r="A103" s="67">
        <v>101</v>
      </c>
      <c r="B103" s="67" t="s">
        <v>407</v>
      </c>
      <c r="C103" s="67"/>
      <c r="D103" s="67">
        <v>0</v>
      </c>
      <c r="E103" s="67">
        <v>0</v>
      </c>
      <c r="F103" s="67" t="s">
        <v>437</v>
      </c>
      <c r="G103" s="54" t="s">
        <v>438</v>
      </c>
      <c r="H103" s="68" t="s">
        <v>720</v>
      </c>
      <c r="I103" s="53" t="s">
        <v>410</v>
      </c>
      <c r="J103" s="67">
        <v>4.0999999999999996</v>
      </c>
      <c r="K103" s="53"/>
      <c r="L103" s="70" t="s">
        <v>713</v>
      </c>
      <c r="M103" s="56" t="s">
        <v>546</v>
      </c>
      <c r="N103" s="56" t="s">
        <v>714</v>
      </c>
      <c r="O103" s="56" t="s">
        <v>557</v>
      </c>
      <c r="P103" s="59" t="s">
        <v>415</v>
      </c>
      <c r="Q103" s="56" t="s">
        <v>714</v>
      </c>
      <c r="R103" s="60">
        <v>1</v>
      </c>
      <c r="S103" s="60" t="s">
        <v>34</v>
      </c>
      <c r="T103" s="61" t="s">
        <v>410</v>
      </c>
      <c r="U103" s="61"/>
      <c r="V103" s="53"/>
      <c r="W103" s="61"/>
      <c r="X103" s="61"/>
      <c r="Y103" s="61"/>
      <c r="Z103" s="62" t="s">
        <v>422</v>
      </c>
      <c r="AA103" s="69">
        <v>239.28624999999997</v>
      </c>
      <c r="AB103" s="64" t="s">
        <v>424</v>
      </c>
      <c r="AC103" s="56"/>
      <c r="AD103" s="56"/>
      <c r="AE103" s="65"/>
      <c r="AF103" s="62" t="s">
        <v>664</v>
      </c>
      <c r="AG103" s="62">
        <v>1</v>
      </c>
      <c r="AI103" s="66"/>
    </row>
    <row r="104" spans="1:35" ht="24" x14ac:dyDescent="0.25">
      <c r="A104" s="67">
        <v>102</v>
      </c>
      <c r="B104" s="67" t="s">
        <v>407</v>
      </c>
      <c r="C104" s="67"/>
      <c r="D104" s="67">
        <v>0</v>
      </c>
      <c r="E104" s="67">
        <v>0</v>
      </c>
      <c r="F104" s="67" t="s">
        <v>437</v>
      </c>
      <c r="G104" s="54" t="s">
        <v>438</v>
      </c>
      <c r="H104" s="68" t="s">
        <v>721</v>
      </c>
      <c r="I104" s="67" t="s">
        <v>410</v>
      </c>
      <c r="J104" s="67">
        <v>4.0999999999999996</v>
      </c>
      <c r="K104" s="67"/>
      <c r="L104" s="70" t="s">
        <v>713</v>
      </c>
      <c r="M104" s="56" t="s">
        <v>546</v>
      </c>
      <c r="N104" s="56" t="s">
        <v>714</v>
      </c>
      <c r="O104" s="56" t="s">
        <v>557</v>
      </c>
      <c r="P104" s="59" t="s">
        <v>415</v>
      </c>
      <c r="Q104" s="56" t="s">
        <v>714</v>
      </c>
      <c r="R104" s="60">
        <v>1</v>
      </c>
      <c r="S104" s="60" t="s">
        <v>34</v>
      </c>
      <c r="T104" s="61" t="s">
        <v>410</v>
      </c>
      <c r="U104" s="61"/>
      <c r="V104" s="53"/>
      <c r="W104" s="138"/>
      <c r="X104" s="138"/>
      <c r="Y104" s="53"/>
      <c r="Z104" s="62" t="s">
        <v>422</v>
      </c>
      <c r="AA104" s="69">
        <v>239.28624999999997</v>
      </c>
      <c r="AB104" s="64" t="s">
        <v>424</v>
      </c>
      <c r="AC104" s="139"/>
      <c r="AD104" s="139"/>
      <c r="AE104" s="140"/>
      <c r="AF104" s="62" t="s">
        <v>664</v>
      </c>
      <c r="AG104" s="53">
        <v>1</v>
      </c>
      <c r="AI104" s="66"/>
    </row>
    <row r="105" spans="1:35" ht="24" x14ac:dyDescent="0.25">
      <c r="A105" s="67">
        <v>103</v>
      </c>
      <c r="B105" s="67" t="s">
        <v>407</v>
      </c>
      <c r="C105" s="67"/>
      <c r="D105" s="67">
        <v>0</v>
      </c>
      <c r="E105" s="67">
        <v>0</v>
      </c>
      <c r="F105" s="67" t="s">
        <v>437</v>
      </c>
      <c r="G105" s="54" t="s">
        <v>438</v>
      </c>
      <c r="H105" s="68" t="s">
        <v>722</v>
      </c>
      <c r="I105" s="53" t="s">
        <v>410</v>
      </c>
      <c r="J105" s="67">
        <v>4.0999999999999996</v>
      </c>
      <c r="K105" s="53"/>
      <c r="L105" s="70" t="s">
        <v>713</v>
      </c>
      <c r="M105" s="56" t="s">
        <v>546</v>
      </c>
      <c r="N105" s="56" t="s">
        <v>714</v>
      </c>
      <c r="O105" s="56" t="s">
        <v>557</v>
      </c>
      <c r="P105" s="59" t="s">
        <v>415</v>
      </c>
      <c r="Q105" s="56" t="s">
        <v>714</v>
      </c>
      <c r="R105" s="60">
        <v>1</v>
      </c>
      <c r="S105" s="60" t="s">
        <v>34</v>
      </c>
      <c r="T105" s="61" t="s">
        <v>410</v>
      </c>
      <c r="U105" s="61"/>
      <c r="V105" s="137"/>
      <c r="W105" s="138"/>
      <c r="X105" s="138"/>
      <c r="Y105" s="53"/>
      <c r="Z105" s="62" t="s">
        <v>422</v>
      </c>
      <c r="AA105" s="69">
        <v>239.28624999999997</v>
      </c>
      <c r="AB105" s="64" t="s">
        <v>424</v>
      </c>
      <c r="AC105" s="139"/>
      <c r="AD105" s="139"/>
      <c r="AE105" s="140"/>
      <c r="AF105" s="62" t="s">
        <v>664</v>
      </c>
      <c r="AG105" s="53">
        <v>1</v>
      </c>
      <c r="AI105" s="66"/>
    </row>
    <row r="106" spans="1:35" ht="24" x14ac:dyDescent="0.25">
      <c r="A106" s="67">
        <v>104</v>
      </c>
      <c r="B106" s="67"/>
      <c r="C106" s="67" t="s">
        <v>407</v>
      </c>
      <c r="D106" s="67">
        <v>1</v>
      </c>
      <c r="E106" s="67">
        <v>1</v>
      </c>
      <c r="F106" s="67" t="s">
        <v>430</v>
      </c>
      <c r="G106" s="54" t="s">
        <v>723</v>
      </c>
      <c r="H106" s="68" t="s">
        <v>717</v>
      </c>
      <c r="I106" s="53" t="s">
        <v>410</v>
      </c>
      <c r="J106" s="67"/>
      <c r="K106" s="53"/>
      <c r="L106" s="70" t="s">
        <v>724</v>
      </c>
      <c r="M106" s="56" t="s">
        <v>412</v>
      </c>
      <c r="N106" s="56" t="s">
        <v>725</v>
      </c>
      <c r="O106" s="56" t="s">
        <v>557</v>
      </c>
      <c r="P106" s="59" t="s">
        <v>415</v>
      </c>
      <c r="Q106" s="56" t="s">
        <v>725</v>
      </c>
      <c r="R106" s="60">
        <v>1</v>
      </c>
      <c r="S106" s="60" t="s">
        <v>34</v>
      </c>
      <c r="T106" s="61" t="s">
        <v>410</v>
      </c>
      <c r="U106" s="61"/>
      <c r="V106" s="53"/>
      <c r="W106" s="58"/>
      <c r="X106" s="61"/>
      <c r="Y106" s="60"/>
      <c r="Z106" s="62"/>
      <c r="AA106" s="69"/>
      <c r="AB106" s="64"/>
      <c r="AC106" s="56"/>
      <c r="AD106" s="56"/>
      <c r="AE106" s="65"/>
      <c r="AF106" s="56" t="s">
        <v>664</v>
      </c>
      <c r="AG106" s="62">
        <v>1</v>
      </c>
      <c r="AI106" s="66"/>
    </row>
    <row r="107" spans="1:35" ht="24" x14ac:dyDescent="0.25">
      <c r="A107" s="67">
        <v>105</v>
      </c>
      <c r="B107" s="67"/>
      <c r="C107" s="67" t="s">
        <v>407</v>
      </c>
      <c r="D107" s="67">
        <v>1</v>
      </c>
      <c r="E107" s="67">
        <v>1</v>
      </c>
      <c r="F107" s="67" t="s">
        <v>430</v>
      </c>
      <c r="G107" s="54" t="s">
        <v>726</v>
      </c>
      <c r="H107" s="68" t="s">
        <v>718</v>
      </c>
      <c r="I107" s="53" t="s">
        <v>410</v>
      </c>
      <c r="J107" s="67"/>
      <c r="K107" s="53"/>
      <c r="L107" s="70" t="s">
        <v>707</v>
      </c>
      <c r="M107" s="56" t="s">
        <v>412</v>
      </c>
      <c r="N107" s="56" t="s">
        <v>727</v>
      </c>
      <c r="O107" s="56" t="s">
        <v>557</v>
      </c>
      <c r="P107" s="59" t="s">
        <v>415</v>
      </c>
      <c r="Q107" s="56" t="s">
        <v>727</v>
      </c>
      <c r="R107" s="60">
        <v>1</v>
      </c>
      <c r="S107" s="60" t="s">
        <v>34</v>
      </c>
      <c r="T107" s="61" t="s">
        <v>410</v>
      </c>
      <c r="U107" s="61"/>
      <c r="V107" s="53"/>
      <c r="W107" s="58"/>
      <c r="X107" s="61"/>
      <c r="Y107" s="60"/>
      <c r="Z107" s="62"/>
      <c r="AA107" s="69"/>
      <c r="AB107" s="64"/>
      <c r="AC107" s="56"/>
      <c r="AD107" s="56"/>
      <c r="AE107" s="65"/>
      <c r="AF107" s="56" t="s">
        <v>664</v>
      </c>
      <c r="AG107" s="62">
        <v>1</v>
      </c>
      <c r="AI107" s="66"/>
    </row>
    <row r="108" spans="1:35" ht="24" x14ac:dyDescent="0.25">
      <c r="A108" s="67">
        <v>106</v>
      </c>
      <c r="B108" s="67"/>
      <c r="C108" s="67" t="s">
        <v>407</v>
      </c>
      <c r="D108" s="67">
        <v>1</v>
      </c>
      <c r="E108" s="67">
        <v>1</v>
      </c>
      <c r="F108" s="67" t="s">
        <v>430</v>
      </c>
      <c r="G108" s="54" t="s">
        <v>728</v>
      </c>
      <c r="H108" s="68" t="s">
        <v>719</v>
      </c>
      <c r="I108" s="53" t="s">
        <v>410</v>
      </c>
      <c r="J108" s="53">
        <v>9.1</v>
      </c>
      <c r="K108" s="53"/>
      <c r="L108" s="70" t="s">
        <v>710</v>
      </c>
      <c r="M108" s="56" t="s">
        <v>546</v>
      </c>
      <c r="N108" s="56" t="s">
        <v>711</v>
      </c>
      <c r="O108" s="56" t="s">
        <v>557</v>
      </c>
      <c r="P108" s="59" t="s">
        <v>415</v>
      </c>
      <c r="Q108" s="56" t="s">
        <v>711</v>
      </c>
      <c r="R108" s="60">
        <v>1</v>
      </c>
      <c r="S108" s="60" t="s">
        <v>34</v>
      </c>
      <c r="T108" s="61" t="s">
        <v>410</v>
      </c>
      <c r="U108" s="61" t="s">
        <v>729</v>
      </c>
      <c r="V108" s="53"/>
      <c r="W108" s="61"/>
      <c r="X108" s="61"/>
      <c r="Y108" s="61"/>
      <c r="Z108" s="62" t="s">
        <v>422</v>
      </c>
      <c r="AA108" s="69">
        <v>3000</v>
      </c>
      <c r="AB108" s="64" t="s">
        <v>424</v>
      </c>
      <c r="AC108" s="56"/>
      <c r="AD108" s="56"/>
      <c r="AE108" s="65"/>
      <c r="AF108" s="62" t="s">
        <v>664</v>
      </c>
      <c r="AG108" s="62">
        <v>1</v>
      </c>
      <c r="AI108" s="66"/>
    </row>
    <row r="109" spans="1:35" ht="24" x14ac:dyDescent="0.25">
      <c r="A109" s="67">
        <v>107</v>
      </c>
      <c r="B109" s="67"/>
      <c r="C109" s="67" t="s">
        <v>407</v>
      </c>
      <c r="D109" s="67">
        <v>1</v>
      </c>
      <c r="E109" s="67">
        <v>1</v>
      </c>
      <c r="F109" s="67" t="s">
        <v>430</v>
      </c>
      <c r="G109" s="54" t="s">
        <v>723</v>
      </c>
      <c r="H109" s="68" t="s">
        <v>717</v>
      </c>
      <c r="I109" s="53" t="s">
        <v>410</v>
      </c>
      <c r="J109" s="67"/>
      <c r="K109" s="53"/>
      <c r="L109" s="70" t="s">
        <v>730</v>
      </c>
      <c r="M109" s="56" t="s">
        <v>412</v>
      </c>
      <c r="N109" s="56" t="s">
        <v>725</v>
      </c>
      <c r="O109" s="56" t="s">
        <v>557</v>
      </c>
      <c r="P109" s="59" t="s">
        <v>415</v>
      </c>
      <c r="Q109" s="56" t="s">
        <v>725</v>
      </c>
      <c r="R109" s="60">
        <v>1</v>
      </c>
      <c r="S109" s="60" t="s">
        <v>34</v>
      </c>
      <c r="T109" s="61" t="s">
        <v>410</v>
      </c>
      <c r="U109" s="61"/>
      <c r="V109" s="56"/>
      <c r="W109" s="58"/>
      <c r="X109" s="61"/>
      <c r="Y109" s="61"/>
      <c r="Z109" s="62"/>
      <c r="AA109" s="69"/>
      <c r="AB109" s="64"/>
      <c r="AC109" s="56"/>
      <c r="AD109" s="56"/>
      <c r="AE109" s="65"/>
      <c r="AF109" s="56" t="s">
        <v>664</v>
      </c>
      <c r="AG109" s="62">
        <v>1</v>
      </c>
      <c r="AI109" s="66"/>
    </row>
    <row r="110" spans="1:35" ht="24" x14ac:dyDescent="0.25">
      <c r="A110" s="67">
        <v>108</v>
      </c>
      <c r="B110" s="67"/>
      <c r="C110" s="67" t="s">
        <v>407</v>
      </c>
      <c r="D110" s="67">
        <v>1</v>
      </c>
      <c r="E110" s="67">
        <v>1</v>
      </c>
      <c r="F110" s="67" t="s">
        <v>430</v>
      </c>
      <c r="G110" s="54" t="s">
        <v>726</v>
      </c>
      <c r="H110" s="68" t="s">
        <v>718</v>
      </c>
      <c r="I110" s="53" t="s">
        <v>410</v>
      </c>
      <c r="J110" s="67"/>
      <c r="K110" s="53"/>
      <c r="L110" s="70" t="s">
        <v>707</v>
      </c>
      <c r="M110" s="56" t="s">
        <v>412</v>
      </c>
      <c r="N110" s="56" t="s">
        <v>727</v>
      </c>
      <c r="O110" s="56" t="s">
        <v>557</v>
      </c>
      <c r="P110" s="59" t="s">
        <v>415</v>
      </c>
      <c r="Q110" s="56" t="s">
        <v>727</v>
      </c>
      <c r="R110" s="60">
        <v>1</v>
      </c>
      <c r="S110" s="60" t="s">
        <v>34</v>
      </c>
      <c r="T110" s="61" t="s">
        <v>410</v>
      </c>
      <c r="U110" s="61"/>
      <c r="V110" s="56"/>
      <c r="W110" s="58"/>
      <c r="X110" s="61"/>
      <c r="Y110" s="61"/>
      <c r="Z110" s="62"/>
      <c r="AA110" s="69"/>
      <c r="AB110" s="64"/>
      <c r="AC110" s="56"/>
      <c r="AD110" s="56"/>
      <c r="AE110" s="65"/>
      <c r="AF110" s="56" t="s">
        <v>664</v>
      </c>
      <c r="AG110" s="62">
        <v>1</v>
      </c>
      <c r="AI110" s="66"/>
    </row>
    <row r="111" spans="1:35" ht="24" x14ac:dyDescent="0.25">
      <c r="A111" s="67">
        <v>109</v>
      </c>
      <c r="B111" s="67"/>
      <c r="C111" s="67" t="s">
        <v>407</v>
      </c>
      <c r="D111" s="67">
        <v>1</v>
      </c>
      <c r="E111" s="67">
        <v>1</v>
      </c>
      <c r="F111" s="67" t="s">
        <v>430</v>
      </c>
      <c r="G111" s="54" t="s">
        <v>728</v>
      </c>
      <c r="H111" s="68" t="s">
        <v>719</v>
      </c>
      <c r="I111" s="53" t="s">
        <v>410</v>
      </c>
      <c r="J111" s="53">
        <v>9.1</v>
      </c>
      <c r="K111" s="53"/>
      <c r="L111" s="70" t="s">
        <v>710</v>
      </c>
      <c r="M111" s="56" t="s">
        <v>546</v>
      </c>
      <c r="N111" s="56" t="s">
        <v>711</v>
      </c>
      <c r="O111" s="56" t="s">
        <v>557</v>
      </c>
      <c r="P111" s="59" t="s">
        <v>415</v>
      </c>
      <c r="Q111" s="56" t="s">
        <v>711</v>
      </c>
      <c r="R111" s="60">
        <v>1</v>
      </c>
      <c r="S111" s="60" t="s">
        <v>34</v>
      </c>
      <c r="T111" s="61" t="s">
        <v>410</v>
      </c>
      <c r="U111" s="61" t="s">
        <v>731</v>
      </c>
      <c r="V111" s="53"/>
      <c r="W111" s="61"/>
      <c r="X111" s="61"/>
      <c r="Y111" s="61"/>
      <c r="Z111" s="62" t="s">
        <v>422</v>
      </c>
      <c r="AA111" s="69">
        <v>3000</v>
      </c>
      <c r="AB111" s="64" t="s">
        <v>424</v>
      </c>
      <c r="AC111" s="56"/>
      <c r="AD111" s="56"/>
      <c r="AE111" s="65"/>
      <c r="AF111" s="62" t="s">
        <v>664</v>
      </c>
      <c r="AG111" s="62">
        <v>1</v>
      </c>
      <c r="AI111" s="66"/>
    </row>
    <row r="112" spans="1:35" ht="24" x14ac:dyDescent="0.25">
      <c r="A112" s="67">
        <v>110</v>
      </c>
      <c r="B112" s="67" t="s">
        <v>407</v>
      </c>
      <c r="C112" s="67" t="s">
        <v>407</v>
      </c>
      <c r="D112" s="67">
        <v>1</v>
      </c>
      <c r="E112" s="67">
        <v>1</v>
      </c>
      <c r="F112" s="67" t="s">
        <v>437</v>
      </c>
      <c r="G112" s="54" t="s">
        <v>732</v>
      </c>
      <c r="H112" s="68" t="s">
        <v>733</v>
      </c>
      <c r="I112" s="67" t="s">
        <v>410</v>
      </c>
      <c r="J112" s="67" t="s">
        <v>554</v>
      </c>
      <c r="K112" s="67"/>
      <c r="L112" s="70" t="s">
        <v>734</v>
      </c>
      <c r="M112" s="56" t="s">
        <v>412</v>
      </c>
      <c r="N112" s="56" t="s">
        <v>735</v>
      </c>
      <c r="O112" s="59" t="s">
        <v>415</v>
      </c>
      <c r="P112" s="59" t="s">
        <v>415</v>
      </c>
      <c r="Q112" s="56" t="s">
        <v>735</v>
      </c>
      <c r="R112" s="60">
        <v>1</v>
      </c>
      <c r="S112" s="60" t="s">
        <v>34</v>
      </c>
      <c r="T112" s="61" t="s">
        <v>469</v>
      </c>
      <c r="U112" s="61" t="s">
        <v>470</v>
      </c>
      <c r="V112" s="53"/>
      <c r="W112" s="58" t="s">
        <v>421</v>
      </c>
      <c r="X112" s="61"/>
      <c r="Y112" s="60"/>
      <c r="Z112" s="62" t="s">
        <v>422</v>
      </c>
      <c r="AA112" s="69">
        <v>2887.9375</v>
      </c>
      <c r="AB112" s="64" t="s">
        <v>424</v>
      </c>
      <c r="AC112" s="56"/>
      <c r="AD112" s="56"/>
      <c r="AE112" s="65"/>
      <c r="AF112" s="62" t="s">
        <v>664</v>
      </c>
      <c r="AG112" s="62">
        <v>1</v>
      </c>
      <c r="AI112" s="66"/>
    </row>
    <row r="113" spans="1:35" ht="24" x14ac:dyDescent="0.25">
      <c r="A113" s="67">
        <v>111</v>
      </c>
      <c r="B113" s="67"/>
      <c r="C113" s="67" t="s">
        <v>407</v>
      </c>
      <c r="D113" s="67">
        <v>1</v>
      </c>
      <c r="E113" s="67">
        <v>1</v>
      </c>
      <c r="F113" s="67" t="s">
        <v>430</v>
      </c>
      <c r="G113" s="54" t="s">
        <v>736</v>
      </c>
      <c r="H113" s="68" t="s">
        <v>737</v>
      </c>
      <c r="I113" s="67" t="s">
        <v>469</v>
      </c>
      <c r="J113" s="67"/>
      <c r="K113" s="67"/>
      <c r="L113" s="70" t="s">
        <v>738</v>
      </c>
      <c r="M113" s="56"/>
      <c r="N113" s="56" t="s">
        <v>739</v>
      </c>
      <c r="O113" s="59" t="s">
        <v>415</v>
      </c>
      <c r="P113" s="59" t="s">
        <v>415</v>
      </c>
      <c r="Q113" s="56" t="s">
        <v>739</v>
      </c>
      <c r="R113" s="60">
        <v>1</v>
      </c>
      <c r="S113" s="60" t="s">
        <v>34</v>
      </c>
      <c r="T113" s="61" t="s">
        <v>469</v>
      </c>
      <c r="U113" s="61" t="s">
        <v>470</v>
      </c>
      <c r="V113" s="53"/>
      <c r="W113" s="58"/>
      <c r="X113" s="61"/>
      <c r="Y113" s="60"/>
      <c r="Z113" s="62"/>
      <c r="AA113" s="69"/>
      <c r="AB113" s="64"/>
      <c r="AC113" s="56"/>
      <c r="AD113" s="56"/>
      <c r="AE113" s="65"/>
      <c r="AF113" s="62" t="s">
        <v>664</v>
      </c>
      <c r="AG113" s="62">
        <v>1</v>
      </c>
      <c r="AI113" s="66"/>
    </row>
    <row r="114" spans="1:35" ht="24" x14ac:dyDescent="0.25">
      <c r="A114" s="67">
        <v>112</v>
      </c>
      <c r="B114" s="67" t="s">
        <v>407</v>
      </c>
      <c r="C114" s="53"/>
      <c r="D114" s="53">
        <v>0</v>
      </c>
      <c r="E114" s="53">
        <v>0</v>
      </c>
      <c r="F114" s="53" t="s">
        <v>430</v>
      </c>
      <c r="G114" s="54" t="s">
        <v>438</v>
      </c>
      <c r="H114" s="68" t="s">
        <v>737</v>
      </c>
      <c r="I114" s="53" t="s">
        <v>410</v>
      </c>
      <c r="J114" s="67"/>
      <c r="K114" s="53"/>
      <c r="L114" s="70" t="s">
        <v>740</v>
      </c>
      <c r="M114" s="56" t="s">
        <v>412</v>
      </c>
      <c r="N114" s="56" t="s">
        <v>741</v>
      </c>
      <c r="O114" s="59" t="s">
        <v>415</v>
      </c>
      <c r="P114" s="59" t="s">
        <v>415</v>
      </c>
      <c r="Q114" s="56" t="s">
        <v>742</v>
      </c>
      <c r="R114" s="60">
        <v>1</v>
      </c>
      <c r="S114" s="60" t="s">
        <v>34</v>
      </c>
      <c r="T114" s="61" t="s">
        <v>469</v>
      </c>
      <c r="U114" s="61" t="s">
        <v>470</v>
      </c>
      <c r="V114" s="56"/>
      <c r="W114" s="58" t="s">
        <v>421</v>
      </c>
      <c r="X114" s="61"/>
      <c r="Y114" s="61"/>
      <c r="Z114" s="62"/>
      <c r="AA114" s="63"/>
      <c r="AB114" s="64"/>
      <c r="AC114" s="56"/>
      <c r="AD114" s="56"/>
      <c r="AE114" s="65"/>
      <c r="AF114" s="62" t="s">
        <v>664</v>
      </c>
      <c r="AG114" s="62">
        <v>1</v>
      </c>
      <c r="AI114" s="66"/>
    </row>
    <row r="115" spans="1:35" ht="24" x14ac:dyDescent="0.25">
      <c r="A115" s="67">
        <v>113</v>
      </c>
      <c r="B115" s="67" t="s">
        <v>407</v>
      </c>
      <c r="C115" s="53"/>
      <c r="D115" s="53">
        <v>0</v>
      </c>
      <c r="E115" s="53">
        <v>0</v>
      </c>
      <c r="F115" s="53" t="s">
        <v>430</v>
      </c>
      <c r="G115" s="54" t="s">
        <v>438</v>
      </c>
      <c r="H115" s="68" t="s">
        <v>743</v>
      </c>
      <c r="I115" s="67" t="s">
        <v>410</v>
      </c>
      <c r="J115" s="67"/>
      <c r="K115" s="67" t="s">
        <v>744</v>
      </c>
      <c r="L115" s="70" t="s">
        <v>745</v>
      </c>
      <c r="M115" s="56" t="s">
        <v>412</v>
      </c>
      <c r="N115" s="58">
        <v>7700130000</v>
      </c>
      <c r="O115" s="59">
        <v>39941</v>
      </c>
      <c r="P115" s="59" t="s">
        <v>415</v>
      </c>
      <c r="Q115" s="58">
        <v>7700130000</v>
      </c>
      <c r="R115" s="60">
        <v>1</v>
      </c>
      <c r="S115" s="60" t="s">
        <v>34</v>
      </c>
      <c r="T115" s="61" t="s">
        <v>410</v>
      </c>
      <c r="U115" s="61"/>
      <c r="V115" s="56"/>
      <c r="W115" s="58"/>
      <c r="X115" s="61"/>
      <c r="Y115" s="61"/>
      <c r="Z115" s="62"/>
      <c r="AA115" s="63"/>
      <c r="AB115" s="64"/>
      <c r="AC115" s="56"/>
      <c r="AD115" s="56"/>
      <c r="AE115" s="65"/>
      <c r="AF115" s="56" t="s">
        <v>664</v>
      </c>
      <c r="AG115" s="62">
        <v>1</v>
      </c>
      <c r="AI115" s="66"/>
    </row>
    <row r="116" spans="1:35" s="136" customFormat="1" ht="24" x14ac:dyDescent="0.25">
      <c r="A116" s="67">
        <v>114</v>
      </c>
      <c r="B116" s="67" t="s">
        <v>407</v>
      </c>
      <c r="C116" s="53"/>
      <c r="D116" s="53">
        <v>0</v>
      </c>
      <c r="E116" s="53">
        <v>0</v>
      </c>
      <c r="F116" s="53" t="s">
        <v>430</v>
      </c>
      <c r="G116" s="54" t="s">
        <v>438</v>
      </c>
      <c r="H116" s="68" t="s">
        <v>746</v>
      </c>
      <c r="I116" s="53" t="s">
        <v>410</v>
      </c>
      <c r="J116" s="67"/>
      <c r="K116" s="53" t="s">
        <v>747</v>
      </c>
      <c r="L116" s="70" t="s">
        <v>748</v>
      </c>
      <c r="M116" s="56" t="s">
        <v>412</v>
      </c>
      <c r="N116" s="58">
        <v>7721730000</v>
      </c>
      <c r="O116" s="59">
        <v>39941</v>
      </c>
      <c r="P116" s="59" t="s">
        <v>415</v>
      </c>
      <c r="Q116" s="58">
        <v>7721730000</v>
      </c>
      <c r="R116" s="60">
        <v>1</v>
      </c>
      <c r="S116" s="60" t="s">
        <v>34</v>
      </c>
      <c r="T116" s="61" t="s">
        <v>410</v>
      </c>
      <c r="U116" s="61"/>
      <c r="V116" s="53"/>
      <c r="W116" s="58"/>
      <c r="X116" s="61"/>
      <c r="Y116" s="61"/>
      <c r="Z116" s="62"/>
      <c r="AA116" s="63"/>
      <c r="AB116" s="64"/>
      <c r="AC116" s="56"/>
      <c r="AD116" s="56"/>
      <c r="AE116" s="65"/>
      <c r="AF116" s="56" t="s">
        <v>664</v>
      </c>
      <c r="AG116" s="62">
        <v>1</v>
      </c>
      <c r="AI116" s="66"/>
    </row>
    <row r="117" spans="1:35" s="136" customFormat="1" ht="24" x14ac:dyDescent="0.25">
      <c r="A117" s="67">
        <v>115</v>
      </c>
      <c r="B117" s="67" t="s">
        <v>407</v>
      </c>
      <c r="C117" s="53"/>
      <c r="D117" s="53">
        <v>0</v>
      </c>
      <c r="E117" s="53">
        <v>0</v>
      </c>
      <c r="F117" s="53" t="s">
        <v>430</v>
      </c>
      <c r="G117" s="54" t="s">
        <v>438</v>
      </c>
      <c r="H117" s="68" t="s">
        <v>749</v>
      </c>
      <c r="I117" s="67" t="s">
        <v>410</v>
      </c>
      <c r="J117" s="67"/>
      <c r="K117" s="67" t="s">
        <v>750</v>
      </c>
      <c r="L117" s="70" t="s">
        <v>751</v>
      </c>
      <c r="M117" s="56" t="s">
        <v>546</v>
      </c>
      <c r="N117" s="58">
        <v>7722250000</v>
      </c>
      <c r="O117" s="59">
        <v>39941</v>
      </c>
      <c r="P117" s="59" t="s">
        <v>415</v>
      </c>
      <c r="Q117" s="58">
        <v>7722250000</v>
      </c>
      <c r="R117" s="60">
        <v>1</v>
      </c>
      <c r="S117" s="60" t="s">
        <v>34</v>
      </c>
      <c r="T117" s="61" t="s">
        <v>410</v>
      </c>
      <c r="U117" s="61"/>
      <c r="V117" s="56"/>
      <c r="W117" s="138"/>
      <c r="X117" s="138"/>
      <c r="Y117" s="53"/>
      <c r="Z117" s="62"/>
      <c r="AA117" s="63"/>
      <c r="AB117" s="64"/>
      <c r="AC117" s="139"/>
      <c r="AD117" s="139"/>
      <c r="AE117" s="140"/>
      <c r="AF117" s="56" t="s">
        <v>664</v>
      </c>
      <c r="AG117" s="53">
        <v>1</v>
      </c>
      <c r="AI117" s="66"/>
    </row>
    <row r="118" spans="1:35" s="136" customFormat="1" ht="24" x14ac:dyDescent="0.25">
      <c r="A118" s="67">
        <v>116</v>
      </c>
      <c r="B118" s="67" t="s">
        <v>407</v>
      </c>
      <c r="C118" s="53"/>
      <c r="D118" s="53">
        <v>0</v>
      </c>
      <c r="E118" s="53">
        <v>0</v>
      </c>
      <c r="F118" s="53" t="s">
        <v>430</v>
      </c>
      <c r="G118" s="54" t="s">
        <v>438</v>
      </c>
      <c r="H118" s="68" t="s">
        <v>752</v>
      </c>
      <c r="I118" s="53" t="s">
        <v>410</v>
      </c>
      <c r="J118" s="67"/>
      <c r="K118" s="53" t="s">
        <v>750</v>
      </c>
      <c r="L118" s="70" t="s">
        <v>751</v>
      </c>
      <c r="M118" s="56" t="s">
        <v>412</v>
      </c>
      <c r="N118" s="58">
        <v>7722250000</v>
      </c>
      <c r="O118" s="59">
        <v>39941</v>
      </c>
      <c r="P118" s="59" t="s">
        <v>415</v>
      </c>
      <c r="Q118" s="58">
        <v>7722250000</v>
      </c>
      <c r="R118" s="60">
        <v>1</v>
      </c>
      <c r="S118" s="60" t="s">
        <v>34</v>
      </c>
      <c r="T118" s="61" t="s">
        <v>410</v>
      </c>
      <c r="U118" s="61"/>
      <c r="V118" s="53"/>
      <c r="W118" s="58"/>
      <c r="X118" s="61"/>
      <c r="Y118" s="61"/>
      <c r="Z118" s="62"/>
      <c r="AA118" s="63"/>
      <c r="AB118" s="64"/>
      <c r="AC118" s="56"/>
      <c r="AD118" s="56"/>
      <c r="AE118" s="65"/>
      <c r="AF118" s="56" t="s">
        <v>664</v>
      </c>
      <c r="AG118" s="62">
        <v>1</v>
      </c>
      <c r="AI118" s="66"/>
    </row>
    <row r="119" spans="1:35" ht="24" x14ac:dyDescent="0.25">
      <c r="A119" s="67">
        <v>117</v>
      </c>
      <c r="B119" s="67" t="s">
        <v>407</v>
      </c>
      <c r="C119" s="53"/>
      <c r="D119" s="53">
        <v>0</v>
      </c>
      <c r="E119" s="53">
        <v>0</v>
      </c>
      <c r="F119" s="53" t="s">
        <v>430</v>
      </c>
      <c r="G119" s="54" t="s">
        <v>438</v>
      </c>
      <c r="H119" s="68" t="s">
        <v>753</v>
      </c>
      <c r="I119" s="67" t="s">
        <v>410</v>
      </c>
      <c r="J119" s="67"/>
      <c r="K119" s="67"/>
      <c r="L119" s="70" t="s">
        <v>740</v>
      </c>
      <c r="M119" s="56" t="s">
        <v>412</v>
      </c>
      <c r="N119" s="56" t="s">
        <v>741</v>
      </c>
      <c r="O119" s="59" t="s">
        <v>415</v>
      </c>
      <c r="P119" s="59" t="s">
        <v>415</v>
      </c>
      <c r="Q119" s="56" t="s">
        <v>742</v>
      </c>
      <c r="R119" s="60">
        <v>1</v>
      </c>
      <c r="S119" s="60" t="s">
        <v>34</v>
      </c>
      <c r="T119" s="61" t="s">
        <v>469</v>
      </c>
      <c r="U119" s="61" t="s">
        <v>470</v>
      </c>
      <c r="V119" s="56"/>
      <c r="W119" s="58" t="s">
        <v>421</v>
      </c>
      <c r="X119" s="61"/>
      <c r="Y119" s="61"/>
      <c r="Z119" s="62"/>
      <c r="AA119" s="63"/>
      <c r="AB119" s="64"/>
      <c r="AC119" s="56"/>
      <c r="AD119" s="56"/>
      <c r="AE119" s="65"/>
      <c r="AF119" s="62" t="s">
        <v>664</v>
      </c>
      <c r="AG119" s="62">
        <v>1</v>
      </c>
      <c r="AI119" s="66"/>
    </row>
    <row r="120" spans="1:35" s="136" customFormat="1" ht="24" x14ac:dyDescent="0.25">
      <c r="A120" s="67">
        <v>118</v>
      </c>
      <c r="B120" s="67" t="s">
        <v>407</v>
      </c>
      <c r="C120" s="53"/>
      <c r="D120" s="53">
        <v>0</v>
      </c>
      <c r="E120" s="53">
        <v>0</v>
      </c>
      <c r="F120" s="53" t="s">
        <v>430</v>
      </c>
      <c r="G120" s="54" t="s">
        <v>438</v>
      </c>
      <c r="H120" s="68" t="s">
        <v>754</v>
      </c>
      <c r="I120" s="53" t="s">
        <v>410</v>
      </c>
      <c r="J120" s="67"/>
      <c r="K120" s="53" t="s">
        <v>744</v>
      </c>
      <c r="L120" s="70" t="s">
        <v>745</v>
      </c>
      <c r="M120" s="56" t="s">
        <v>546</v>
      </c>
      <c r="N120" s="58">
        <v>7700130000</v>
      </c>
      <c r="O120" s="59">
        <v>39941</v>
      </c>
      <c r="P120" s="59" t="s">
        <v>415</v>
      </c>
      <c r="Q120" s="58">
        <v>7700130000</v>
      </c>
      <c r="R120" s="60">
        <v>1</v>
      </c>
      <c r="S120" s="60" t="s">
        <v>34</v>
      </c>
      <c r="T120" s="61" t="s">
        <v>410</v>
      </c>
      <c r="U120" s="61"/>
      <c r="V120" s="56"/>
      <c r="W120" s="58"/>
      <c r="X120" s="61"/>
      <c r="Y120" s="60"/>
      <c r="Z120" s="62"/>
      <c r="AA120" s="63"/>
      <c r="AB120" s="64"/>
      <c r="AC120" s="56"/>
      <c r="AD120" s="56"/>
      <c r="AE120" s="65"/>
      <c r="AF120" s="56" t="s">
        <v>664</v>
      </c>
      <c r="AG120" s="62">
        <v>1</v>
      </c>
      <c r="AI120" s="66"/>
    </row>
    <row r="121" spans="1:35" s="136" customFormat="1" ht="24" x14ac:dyDescent="0.25">
      <c r="A121" s="67">
        <v>119</v>
      </c>
      <c r="B121" s="67" t="s">
        <v>407</v>
      </c>
      <c r="C121" s="53"/>
      <c r="D121" s="53">
        <v>0</v>
      </c>
      <c r="E121" s="53">
        <v>0</v>
      </c>
      <c r="F121" s="53" t="s">
        <v>430</v>
      </c>
      <c r="G121" s="54" t="s">
        <v>438</v>
      </c>
      <c r="H121" s="68" t="s">
        <v>755</v>
      </c>
      <c r="I121" s="67" t="s">
        <v>410</v>
      </c>
      <c r="J121" s="67"/>
      <c r="K121" s="67" t="s">
        <v>747</v>
      </c>
      <c r="L121" s="70" t="s">
        <v>748</v>
      </c>
      <c r="M121" s="56" t="s">
        <v>546</v>
      </c>
      <c r="N121" s="58">
        <v>7721730000</v>
      </c>
      <c r="O121" s="59">
        <v>39941</v>
      </c>
      <c r="P121" s="59" t="s">
        <v>415</v>
      </c>
      <c r="Q121" s="58">
        <v>7721730000</v>
      </c>
      <c r="R121" s="60">
        <v>1</v>
      </c>
      <c r="S121" s="60" t="s">
        <v>34</v>
      </c>
      <c r="T121" s="61" t="s">
        <v>410</v>
      </c>
      <c r="U121" s="61"/>
      <c r="V121" s="56"/>
      <c r="W121" s="61"/>
      <c r="X121" s="61"/>
      <c r="Y121" s="61"/>
      <c r="Z121" s="62"/>
      <c r="AA121" s="63"/>
      <c r="AB121" s="64"/>
      <c r="AC121" s="56"/>
      <c r="AD121" s="56"/>
      <c r="AE121" s="65"/>
      <c r="AF121" s="56" t="s">
        <v>664</v>
      </c>
      <c r="AG121" s="62">
        <v>1</v>
      </c>
      <c r="AI121" s="66"/>
    </row>
    <row r="122" spans="1:35" s="136" customFormat="1" ht="24" x14ac:dyDescent="0.25">
      <c r="A122" s="67">
        <v>120</v>
      </c>
      <c r="B122" s="67" t="s">
        <v>407</v>
      </c>
      <c r="C122" s="53"/>
      <c r="D122" s="53">
        <v>0</v>
      </c>
      <c r="E122" s="53">
        <v>0</v>
      </c>
      <c r="F122" s="53" t="s">
        <v>430</v>
      </c>
      <c r="G122" s="54" t="s">
        <v>438</v>
      </c>
      <c r="H122" s="68" t="s">
        <v>756</v>
      </c>
      <c r="I122" s="53" t="s">
        <v>410</v>
      </c>
      <c r="J122" s="67"/>
      <c r="K122" s="53" t="s">
        <v>750</v>
      </c>
      <c r="L122" s="70" t="s">
        <v>751</v>
      </c>
      <c r="M122" s="56" t="s">
        <v>412</v>
      </c>
      <c r="N122" s="58">
        <v>7722250000</v>
      </c>
      <c r="O122" s="59">
        <v>39941</v>
      </c>
      <c r="P122" s="59" t="s">
        <v>415</v>
      </c>
      <c r="Q122" s="58">
        <v>7722250000</v>
      </c>
      <c r="R122" s="60">
        <v>1</v>
      </c>
      <c r="S122" s="60" t="s">
        <v>34</v>
      </c>
      <c r="T122" s="61" t="s">
        <v>410</v>
      </c>
      <c r="U122" s="61"/>
      <c r="V122" s="53"/>
      <c r="W122" s="58"/>
      <c r="X122" s="61"/>
      <c r="Y122" s="61"/>
      <c r="Z122" s="62"/>
      <c r="AA122" s="63"/>
      <c r="AB122" s="64"/>
      <c r="AC122" s="56"/>
      <c r="AD122" s="56"/>
      <c r="AE122" s="65"/>
      <c r="AF122" s="56" t="s">
        <v>664</v>
      </c>
      <c r="AG122" s="62">
        <v>1</v>
      </c>
      <c r="AI122" s="66"/>
    </row>
    <row r="123" spans="1:35" s="136" customFormat="1" ht="24" x14ac:dyDescent="0.25">
      <c r="A123" s="67">
        <v>121</v>
      </c>
      <c r="B123" s="67" t="s">
        <v>407</v>
      </c>
      <c r="C123" s="53"/>
      <c r="D123" s="53">
        <v>0</v>
      </c>
      <c r="E123" s="53">
        <v>0</v>
      </c>
      <c r="F123" s="53" t="s">
        <v>430</v>
      </c>
      <c r="G123" s="54" t="s">
        <v>438</v>
      </c>
      <c r="H123" s="68" t="s">
        <v>757</v>
      </c>
      <c r="I123" s="67" t="s">
        <v>410</v>
      </c>
      <c r="J123" s="67"/>
      <c r="K123" s="67" t="s">
        <v>750</v>
      </c>
      <c r="L123" s="70" t="s">
        <v>751</v>
      </c>
      <c r="M123" s="56" t="s">
        <v>546</v>
      </c>
      <c r="N123" s="58">
        <v>7722250000</v>
      </c>
      <c r="O123" s="59">
        <v>39941</v>
      </c>
      <c r="P123" s="59" t="s">
        <v>415</v>
      </c>
      <c r="Q123" s="58">
        <v>7722250000</v>
      </c>
      <c r="R123" s="60">
        <v>1</v>
      </c>
      <c r="S123" s="60" t="s">
        <v>34</v>
      </c>
      <c r="T123" s="61" t="s">
        <v>410</v>
      </c>
      <c r="U123" s="61"/>
      <c r="V123" s="56"/>
      <c r="W123" s="138"/>
      <c r="X123" s="138"/>
      <c r="Y123" s="53"/>
      <c r="Z123" s="62"/>
      <c r="AA123" s="63"/>
      <c r="AB123" s="64"/>
      <c r="AC123" s="139"/>
      <c r="AD123" s="139"/>
      <c r="AE123" s="140"/>
      <c r="AF123" s="56" t="s">
        <v>664</v>
      </c>
      <c r="AG123" s="53">
        <v>1</v>
      </c>
      <c r="AI123" s="66"/>
    </row>
    <row r="124" spans="1:35" ht="24" x14ac:dyDescent="0.25">
      <c r="A124" s="67">
        <v>122</v>
      </c>
      <c r="B124" s="67" t="s">
        <v>407</v>
      </c>
      <c r="C124" s="67" t="s">
        <v>407</v>
      </c>
      <c r="D124" s="67">
        <v>1</v>
      </c>
      <c r="E124" s="67">
        <v>1</v>
      </c>
      <c r="F124" s="67" t="s">
        <v>437</v>
      </c>
      <c r="G124" s="54" t="s">
        <v>758</v>
      </c>
      <c r="H124" s="68" t="s">
        <v>759</v>
      </c>
      <c r="I124" s="53" t="s">
        <v>410</v>
      </c>
      <c r="J124" s="53" t="s">
        <v>569</v>
      </c>
      <c r="K124" s="53"/>
      <c r="L124" s="70" t="s">
        <v>760</v>
      </c>
      <c r="M124" s="56" t="s">
        <v>412</v>
      </c>
      <c r="N124" s="56" t="s">
        <v>761</v>
      </c>
      <c r="O124" s="59" t="s">
        <v>415</v>
      </c>
      <c r="P124" s="59" t="s">
        <v>415</v>
      </c>
      <c r="Q124" s="56" t="s">
        <v>761</v>
      </c>
      <c r="R124" s="60">
        <v>1</v>
      </c>
      <c r="S124" s="60" t="s">
        <v>34</v>
      </c>
      <c r="T124" s="61" t="s">
        <v>469</v>
      </c>
      <c r="U124" s="61" t="s">
        <v>470</v>
      </c>
      <c r="V124" s="56"/>
      <c r="W124" s="58" t="s">
        <v>421</v>
      </c>
      <c r="X124" s="61"/>
      <c r="Y124" s="61"/>
      <c r="Z124" s="62" t="s">
        <v>422</v>
      </c>
      <c r="AA124" s="69">
        <v>2887.9375</v>
      </c>
      <c r="AB124" s="64" t="s">
        <v>424</v>
      </c>
      <c r="AC124" s="56"/>
      <c r="AD124" s="56"/>
      <c r="AE124" s="65"/>
      <c r="AF124" s="62" t="s">
        <v>664</v>
      </c>
      <c r="AG124" s="62">
        <v>1</v>
      </c>
      <c r="AI124" s="66"/>
    </row>
    <row r="125" spans="1:35" ht="24" x14ac:dyDescent="0.2">
      <c r="A125" s="78">
        <v>123</v>
      </c>
      <c r="B125" s="78" t="s">
        <v>407</v>
      </c>
      <c r="C125" s="78" t="s">
        <v>407</v>
      </c>
      <c r="D125" s="79">
        <v>1</v>
      </c>
      <c r="E125" s="79">
        <v>1</v>
      </c>
      <c r="F125" s="79" t="s">
        <v>430</v>
      </c>
      <c r="G125" s="80" t="s">
        <v>762</v>
      </c>
      <c r="H125" s="81" t="s">
        <v>763</v>
      </c>
      <c r="I125" s="78" t="s">
        <v>469</v>
      </c>
      <c r="J125" s="78"/>
      <c r="K125" s="78"/>
      <c r="L125" s="108" t="s">
        <v>764</v>
      </c>
      <c r="M125" s="83"/>
      <c r="N125" s="83">
        <v>1075560</v>
      </c>
      <c r="O125" s="85" t="s">
        <v>765</v>
      </c>
      <c r="P125" s="85" t="s">
        <v>765</v>
      </c>
      <c r="Q125" s="83">
        <v>1075560</v>
      </c>
      <c r="R125" s="87">
        <v>1</v>
      </c>
      <c r="S125" s="88" t="s">
        <v>34</v>
      </c>
      <c r="T125" s="98" t="s">
        <v>410</v>
      </c>
      <c r="U125" s="98"/>
      <c r="V125" s="89"/>
      <c r="W125" s="79"/>
      <c r="X125" s="79"/>
      <c r="Y125" s="79"/>
      <c r="Z125" s="79"/>
      <c r="AA125" s="91"/>
      <c r="AB125" s="79"/>
      <c r="AC125" s="79"/>
      <c r="AD125" s="79"/>
      <c r="AE125" s="79"/>
      <c r="AF125" s="79" t="s">
        <v>664</v>
      </c>
      <c r="AG125" s="79">
        <v>1</v>
      </c>
      <c r="AI125" s="66"/>
    </row>
    <row r="126" spans="1:35" ht="24" x14ac:dyDescent="0.2">
      <c r="A126" s="78">
        <v>124</v>
      </c>
      <c r="B126" s="78" t="s">
        <v>407</v>
      </c>
      <c r="C126" s="78" t="s">
        <v>407</v>
      </c>
      <c r="D126" s="79">
        <v>1</v>
      </c>
      <c r="E126" s="79">
        <v>1</v>
      </c>
      <c r="F126" s="79" t="s">
        <v>430</v>
      </c>
      <c r="G126" s="80" t="s">
        <v>762</v>
      </c>
      <c r="H126" s="81" t="s">
        <v>766</v>
      </c>
      <c r="I126" s="79" t="s">
        <v>469</v>
      </c>
      <c r="J126" s="79"/>
      <c r="K126" s="79"/>
      <c r="L126" s="108" t="s">
        <v>764</v>
      </c>
      <c r="M126" s="83"/>
      <c r="N126" s="83">
        <v>1075560</v>
      </c>
      <c r="O126" s="85" t="s">
        <v>765</v>
      </c>
      <c r="P126" s="85" t="s">
        <v>765</v>
      </c>
      <c r="Q126" s="83">
        <v>1075560</v>
      </c>
      <c r="R126" s="87">
        <v>1</v>
      </c>
      <c r="S126" s="88" t="s">
        <v>34</v>
      </c>
      <c r="T126" s="98" t="s">
        <v>410</v>
      </c>
      <c r="U126" s="98"/>
      <c r="V126" s="89"/>
      <c r="W126" s="79"/>
      <c r="X126" s="79"/>
      <c r="Y126" s="79"/>
      <c r="Z126" s="79"/>
      <c r="AA126" s="91"/>
      <c r="AB126" s="79"/>
      <c r="AC126" s="79"/>
      <c r="AD126" s="79"/>
      <c r="AE126" s="79"/>
      <c r="AF126" s="79" t="s">
        <v>664</v>
      </c>
      <c r="AG126" s="79">
        <v>1</v>
      </c>
      <c r="AI126" s="66"/>
    </row>
    <row r="127" spans="1:35" ht="24" x14ac:dyDescent="0.2">
      <c r="A127" s="78">
        <v>125</v>
      </c>
      <c r="B127" s="78" t="s">
        <v>407</v>
      </c>
      <c r="C127" s="78" t="s">
        <v>407</v>
      </c>
      <c r="D127" s="79">
        <v>1</v>
      </c>
      <c r="E127" s="79">
        <v>1</v>
      </c>
      <c r="F127" s="79" t="s">
        <v>430</v>
      </c>
      <c r="G127" s="80" t="s">
        <v>762</v>
      </c>
      <c r="H127" s="81" t="s">
        <v>767</v>
      </c>
      <c r="I127" s="78" t="s">
        <v>469</v>
      </c>
      <c r="J127" s="78"/>
      <c r="K127" s="78"/>
      <c r="L127" s="108" t="s">
        <v>764</v>
      </c>
      <c r="M127" s="83"/>
      <c r="N127" s="83">
        <v>1075560</v>
      </c>
      <c r="O127" s="85" t="s">
        <v>765</v>
      </c>
      <c r="P127" s="85" t="s">
        <v>765</v>
      </c>
      <c r="Q127" s="83">
        <v>1075560</v>
      </c>
      <c r="R127" s="87">
        <v>1</v>
      </c>
      <c r="S127" s="88" t="s">
        <v>34</v>
      </c>
      <c r="T127" s="98" t="s">
        <v>410</v>
      </c>
      <c r="U127" s="98"/>
      <c r="V127" s="89"/>
      <c r="W127" s="79"/>
      <c r="X127" s="79"/>
      <c r="Y127" s="79"/>
      <c r="Z127" s="79"/>
      <c r="AA127" s="91"/>
      <c r="AB127" s="79"/>
      <c r="AC127" s="79"/>
      <c r="AD127" s="79"/>
      <c r="AE127" s="79"/>
      <c r="AF127" s="79" t="s">
        <v>664</v>
      </c>
      <c r="AG127" s="79">
        <v>1</v>
      </c>
      <c r="AI127" s="66"/>
    </row>
    <row r="128" spans="1:35" ht="24" x14ac:dyDescent="0.2">
      <c r="A128" s="78">
        <v>126</v>
      </c>
      <c r="B128" s="78" t="s">
        <v>407</v>
      </c>
      <c r="C128" s="78" t="s">
        <v>407</v>
      </c>
      <c r="D128" s="79">
        <v>1</v>
      </c>
      <c r="E128" s="79">
        <v>1</v>
      </c>
      <c r="F128" s="79" t="s">
        <v>430</v>
      </c>
      <c r="G128" s="80" t="s">
        <v>762</v>
      </c>
      <c r="H128" s="81" t="s">
        <v>768</v>
      </c>
      <c r="I128" s="79" t="s">
        <v>469</v>
      </c>
      <c r="J128" s="79"/>
      <c r="K128" s="79"/>
      <c r="L128" s="108" t="s">
        <v>764</v>
      </c>
      <c r="M128" s="83"/>
      <c r="N128" s="83">
        <v>1075560</v>
      </c>
      <c r="O128" s="85" t="s">
        <v>765</v>
      </c>
      <c r="P128" s="85" t="s">
        <v>765</v>
      </c>
      <c r="Q128" s="83">
        <v>1075560</v>
      </c>
      <c r="R128" s="87">
        <v>1</v>
      </c>
      <c r="S128" s="88" t="s">
        <v>34</v>
      </c>
      <c r="T128" s="98" t="s">
        <v>410</v>
      </c>
      <c r="U128" s="98"/>
      <c r="V128" s="89"/>
      <c r="W128" s="79"/>
      <c r="X128" s="79"/>
      <c r="Y128" s="79"/>
      <c r="Z128" s="79"/>
      <c r="AA128" s="91"/>
      <c r="AB128" s="79"/>
      <c r="AC128" s="79"/>
      <c r="AD128" s="79"/>
      <c r="AE128" s="79"/>
      <c r="AF128" s="79" t="s">
        <v>664</v>
      </c>
      <c r="AG128" s="79">
        <v>1</v>
      </c>
      <c r="AI128" s="66"/>
    </row>
    <row r="129" spans="1:35" ht="24" x14ac:dyDescent="0.2">
      <c r="A129" s="78">
        <v>127</v>
      </c>
      <c r="B129" s="78" t="s">
        <v>407</v>
      </c>
      <c r="C129" s="78" t="s">
        <v>407</v>
      </c>
      <c r="D129" s="79">
        <v>1</v>
      </c>
      <c r="E129" s="79">
        <v>1</v>
      </c>
      <c r="F129" s="79" t="s">
        <v>430</v>
      </c>
      <c r="G129" s="80" t="s">
        <v>762</v>
      </c>
      <c r="H129" s="81" t="s">
        <v>769</v>
      </c>
      <c r="I129" s="78" t="s">
        <v>469</v>
      </c>
      <c r="J129" s="78"/>
      <c r="K129" s="78"/>
      <c r="L129" s="108" t="s">
        <v>764</v>
      </c>
      <c r="M129" s="83"/>
      <c r="N129" s="83">
        <v>1075560</v>
      </c>
      <c r="O129" s="85" t="s">
        <v>765</v>
      </c>
      <c r="P129" s="85" t="s">
        <v>765</v>
      </c>
      <c r="Q129" s="83">
        <v>1075560</v>
      </c>
      <c r="R129" s="87">
        <v>1</v>
      </c>
      <c r="S129" s="88" t="s">
        <v>34</v>
      </c>
      <c r="T129" s="98" t="s">
        <v>410</v>
      </c>
      <c r="U129" s="98"/>
      <c r="V129" s="89"/>
      <c r="W129" s="79"/>
      <c r="X129" s="79"/>
      <c r="Y129" s="79"/>
      <c r="Z129" s="79"/>
      <c r="AA129" s="91"/>
      <c r="AB129" s="79"/>
      <c r="AC129" s="79"/>
      <c r="AD129" s="79"/>
      <c r="AE129" s="79"/>
      <c r="AF129" s="79" t="s">
        <v>664</v>
      </c>
      <c r="AG129" s="79">
        <v>1</v>
      </c>
      <c r="AI129" s="66"/>
    </row>
    <row r="130" spans="1:35" ht="24" x14ac:dyDescent="0.25">
      <c r="A130" s="78">
        <v>128</v>
      </c>
      <c r="B130" s="78" t="s">
        <v>407</v>
      </c>
      <c r="C130" s="78" t="s">
        <v>407</v>
      </c>
      <c r="D130" s="78">
        <v>1</v>
      </c>
      <c r="E130" s="78">
        <v>1</v>
      </c>
      <c r="F130" s="78" t="s">
        <v>437</v>
      </c>
      <c r="G130" s="80" t="s">
        <v>770</v>
      </c>
      <c r="H130" s="81" t="s">
        <v>771</v>
      </c>
      <c r="I130" s="79" t="s">
        <v>410</v>
      </c>
      <c r="J130" s="79" t="s">
        <v>772</v>
      </c>
      <c r="K130" s="79"/>
      <c r="L130" s="102" t="s">
        <v>773</v>
      </c>
      <c r="M130" s="83" t="s">
        <v>412</v>
      </c>
      <c r="N130" s="141" t="s">
        <v>774</v>
      </c>
      <c r="O130" s="85" t="s">
        <v>415</v>
      </c>
      <c r="P130" s="85" t="s">
        <v>415</v>
      </c>
      <c r="Q130" s="141" t="s">
        <v>774</v>
      </c>
      <c r="R130" s="88">
        <v>1</v>
      </c>
      <c r="S130" s="88" t="s">
        <v>34</v>
      </c>
      <c r="T130" s="98" t="s">
        <v>410</v>
      </c>
      <c r="U130" s="96" t="s">
        <v>775</v>
      </c>
      <c r="V130" s="83"/>
      <c r="W130" s="96" t="s">
        <v>421</v>
      </c>
      <c r="X130" s="98"/>
      <c r="Y130" s="98"/>
      <c r="Z130" s="90" t="s">
        <v>422</v>
      </c>
      <c r="AA130" s="99">
        <v>42906.5</v>
      </c>
      <c r="AB130" s="92" t="s">
        <v>424</v>
      </c>
      <c r="AC130" s="83"/>
      <c r="AD130" s="83"/>
      <c r="AE130" s="100"/>
      <c r="AF130" s="79" t="s">
        <v>664</v>
      </c>
      <c r="AG130" s="90">
        <v>1</v>
      </c>
      <c r="AI130" s="66"/>
    </row>
    <row r="131" spans="1:35" ht="24" x14ac:dyDescent="0.25">
      <c r="A131" s="78">
        <v>129</v>
      </c>
      <c r="B131" s="78" t="s">
        <v>407</v>
      </c>
      <c r="C131" s="78" t="s">
        <v>407</v>
      </c>
      <c r="D131" s="78">
        <v>0</v>
      </c>
      <c r="E131" s="78">
        <v>4</v>
      </c>
      <c r="F131" s="78" t="s">
        <v>437</v>
      </c>
      <c r="G131" s="80" t="s">
        <v>776</v>
      </c>
      <c r="H131" s="81" t="s">
        <v>777</v>
      </c>
      <c r="I131" s="78" t="s">
        <v>469</v>
      </c>
      <c r="J131" s="78" t="s">
        <v>772</v>
      </c>
      <c r="K131" s="78"/>
      <c r="L131" s="102" t="s">
        <v>778</v>
      </c>
      <c r="M131" s="83" t="s">
        <v>412</v>
      </c>
      <c r="N131" s="83" t="s">
        <v>779</v>
      </c>
      <c r="O131" s="85" t="s">
        <v>415</v>
      </c>
      <c r="P131" s="85" t="s">
        <v>415</v>
      </c>
      <c r="Q131" s="83" t="s">
        <v>779</v>
      </c>
      <c r="R131" s="87">
        <v>4</v>
      </c>
      <c r="S131" s="88" t="s">
        <v>34</v>
      </c>
      <c r="T131" s="98" t="s">
        <v>469</v>
      </c>
      <c r="U131" s="98" t="s">
        <v>470</v>
      </c>
      <c r="V131" s="83"/>
      <c r="W131" s="98"/>
      <c r="X131" s="98"/>
      <c r="Y131" s="98"/>
      <c r="Z131" s="90" t="s">
        <v>422</v>
      </c>
      <c r="AA131" s="99">
        <v>181.52749999999997</v>
      </c>
      <c r="AB131" s="92" t="s">
        <v>424</v>
      </c>
      <c r="AC131" s="83"/>
      <c r="AD131" s="83"/>
      <c r="AE131" s="100"/>
      <c r="AF131" s="141" t="s">
        <v>664</v>
      </c>
      <c r="AG131" s="90">
        <v>4</v>
      </c>
      <c r="AI131" s="66"/>
    </row>
    <row r="132" spans="1:35" ht="24" x14ac:dyDescent="0.25">
      <c r="A132" s="78">
        <v>130</v>
      </c>
      <c r="B132" s="78" t="s">
        <v>407</v>
      </c>
      <c r="C132" s="78" t="s">
        <v>407</v>
      </c>
      <c r="D132" s="78">
        <v>0</v>
      </c>
      <c r="E132" s="78">
        <v>1</v>
      </c>
      <c r="F132" s="78" t="s">
        <v>437</v>
      </c>
      <c r="G132" s="80" t="s">
        <v>780</v>
      </c>
      <c r="H132" s="81" t="s">
        <v>781</v>
      </c>
      <c r="I132" s="79" t="s">
        <v>410</v>
      </c>
      <c r="J132" s="79" t="s">
        <v>772</v>
      </c>
      <c r="K132" s="79"/>
      <c r="L132" s="102" t="s">
        <v>782</v>
      </c>
      <c r="M132" s="83" t="s">
        <v>412</v>
      </c>
      <c r="N132" s="83" t="s">
        <v>783</v>
      </c>
      <c r="O132" s="85" t="s">
        <v>415</v>
      </c>
      <c r="P132" s="85" t="s">
        <v>415</v>
      </c>
      <c r="Q132" s="83" t="s">
        <v>783</v>
      </c>
      <c r="R132" s="88">
        <v>1</v>
      </c>
      <c r="S132" s="88" t="s">
        <v>34</v>
      </c>
      <c r="T132" s="98" t="s">
        <v>469</v>
      </c>
      <c r="U132" s="98" t="s">
        <v>470</v>
      </c>
      <c r="V132" s="83"/>
      <c r="W132" s="96" t="s">
        <v>471</v>
      </c>
      <c r="X132" s="98"/>
      <c r="Y132" s="98"/>
      <c r="Z132" s="90" t="s">
        <v>422</v>
      </c>
      <c r="AA132" s="99">
        <v>866.38124999999991</v>
      </c>
      <c r="AB132" s="92" t="s">
        <v>424</v>
      </c>
      <c r="AC132" s="83"/>
      <c r="AD132" s="83"/>
      <c r="AE132" s="100"/>
      <c r="AF132" s="90" t="s">
        <v>664</v>
      </c>
      <c r="AG132" s="90">
        <v>1</v>
      </c>
      <c r="AI132" s="66"/>
    </row>
    <row r="133" spans="1:35" ht="24" x14ac:dyDescent="0.25">
      <c r="A133" s="78">
        <v>131</v>
      </c>
      <c r="B133" s="78" t="s">
        <v>407</v>
      </c>
      <c r="C133" s="78" t="s">
        <v>407</v>
      </c>
      <c r="D133" s="78">
        <v>0</v>
      </c>
      <c r="E133" s="78">
        <v>1</v>
      </c>
      <c r="F133" s="78" t="s">
        <v>437</v>
      </c>
      <c r="G133" s="80" t="s">
        <v>780</v>
      </c>
      <c r="H133" s="81" t="s">
        <v>784</v>
      </c>
      <c r="I133" s="78" t="s">
        <v>410</v>
      </c>
      <c r="J133" s="78" t="s">
        <v>772</v>
      </c>
      <c r="K133" s="78"/>
      <c r="L133" s="102" t="s">
        <v>785</v>
      </c>
      <c r="M133" s="83" t="s">
        <v>412</v>
      </c>
      <c r="N133" s="141">
        <v>2000002471</v>
      </c>
      <c r="O133" s="85" t="s">
        <v>786</v>
      </c>
      <c r="P133" s="85" t="s">
        <v>415</v>
      </c>
      <c r="Q133" s="141">
        <v>2000002471</v>
      </c>
      <c r="R133" s="88">
        <v>1</v>
      </c>
      <c r="S133" s="88" t="s">
        <v>34</v>
      </c>
      <c r="T133" s="98" t="s">
        <v>410</v>
      </c>
      <c r="U133" s="96" t="s">
        <v>787</v>
      </c>
      <c r="V133" s="96">
        <v>1.1000000000000001</v>
      </c>
      <c r="W133" s="96"/>
      <c r="X133" s="98"/>
      <c r="Y133" s="98"/>
      <c r="Z133" s="90" t="s">
        <v>422</v>
      </c>
      <c r="AA133" s="99">
        <v>5940.9</v>
      </c>
      <c r="AB133" s="92" t="s">
        <v>424</v>
      </c>
      <c r="AC133" s="83"/>
      <c r="AD133" s="83"/>
      <c r="AE133" s="100"/>
      <c r="AF133" s="90" t="s">
        <v>664</v>
      </c>
      <c r="AG133" s="90">
        <v>1</v>
      </c>
      <c r="AI133" s="66"/>
    </row>
    <row r="134" spans="1:35" ht="24" x14ac:dyDescent="0.25">
      <c r="A134" s="78">
        <v>132</v>
      </c>
      <c r="B134" s="78" t="s">
        <v>407</v>
      </c>
      <c r="C134" s="79" t="s">
        <v>407</v>
      </c>
      <c r="D134" s="79">
        <v>1</v>
      </c>
      <c r="E134" s="79">
        <v>1</v>
      </c>
      <c r="F134" s="79" t="s">
        <v>430</v>
      </c>
      <c r="G134" s="80" t="s">
        <v>780</v>
      </c>
      <c r="H134" s="81" t="s">
        <v>788</v>
      </c>
      <c r="I134" s="79" t="s">
        <v>410</v>
      </c>
      <c r="J134" s="79"/>
      <c r="K134" s="79"/>
      <c r="L134" s="102" t="s">
        <v>789</v>
      </c>
      <c r="M134" s="83" t="s">
        <v>412</v>
      </c>
      <c r="N134" s="141">
        <v>2000002471</v>
      </c>
      <c r="O134" s="85" t="s">
        <v>786</v>
      </c>
      <c r="P134" s="85" t="s">
        <v>415</v>
      </c>
      <c r="Q134" s="141">
        <v>2000002471</v>
      </c>
      <c r="R134" s="88">
        <v>1</v>
      </c>
      <c r="S134" s="88" t="s">
        <v>34</v>
      </c>
      <c r="T134" s="98" t="s">
        <v>410</v>
      </c>
      <c r="U134" s="98"/>
      <c r="V134" s="96">
        <v>1.1000000000000001</v>
      </c>
      <c r="W134" s="96"/>
      <c r="X134" s="98"/>
      <c r="Y134" s="98"/>
      <c r="Z134" s="90"/>
      <c r="AA134" s="91"/>
      <c r="AB134" s="92"/>
      <c r="AC134" s="83"/>
      <c r="AD134" s="83"/>
      <c r="AE134" s="100"/>
      <c r="AF134" s="90" t="s">
        <v>664</v>
      </c>
      <c r="AG134" s="90">
        <v>1</v>
      </c>
      <c r="AI134" s="66"/>
    </row>
    <row r="135" spans="1:35" ht="24" x14ac:dyDescent="0.25">
      <c r="A135" s="78">
        <v>133</v>
      </c>
      <c r="B135" s="78" t="s">
        <v>407</v>
      </c>
      <c r="C135" s="78" t="s">
        <v>407</v>
      </c>
      <c r="D135" s="78">
        <v>0</v>
      </c>
      <c r="E135" s="78">
        <v>1</v>
      </c>
      <c r="F135" s="78" t="s">
        <v>437</v>
      </c>
      <c r="G135" s="80" t="s">
        <v>780</v>
      </c>
      <c r="H135" s="81" t="s">
        <v>790</v>
      </c>
      <c r="I135" s="78" t="s">
        <v>410</v>
      </c>
      <c r="J135" s="78" t="s">
        <v>772</v>
      </c>
      <c r="K135" s="78"/>
      <c r="L135" s="102" t="s">
        <v>791</v>
      </c>
      <c r="M135" s="83" t="s">
        <v>412</v>
      </c>
      <c r="N135" s="141" t="s">
        <v>792</v>
      </c>
      <c r="O135" s="85" t="s">
        <v>415</v>
      </c>
      <c r="P135" s="85" t="s">
        <v>415</v>
      </c>
      <c r="Q135" s="141" t="s">
        <v>792</v>
      </c>
      <c r="R135" s="88">
        <v>1</v>
      </c>
      <c r="S135" s="88" t="s">
        <v>34</v>
      </c>
      <c r="T135" s="98" t="s">
        <v>469</v>
      </c>
      <c r="U135" s="98" t="s">
        <v>470</v>
      </c>
      <c r="V135" s="83"/>
      <c r="W135" s="96" t="s">
        <v>471</v>
      </c>
      <c r="X135" s="98"/>
      <c r="Y135" s="98"/>
      <c r="Z135" s="90" t="s">
        <v>422</v>
      </c>
      <c r="AA135" s="99">
        <v>5445.8249999999998</v>
      </c>
      <c r="AB135" s="92" t="s">
        <v>424</v>
      </c>
      <c r="AC135" s="83"/>
      <c r="AD135" s="83"/>
      <c r="AE135" s="100"/>
      <c r="AF135" s="90" t="s">
        <v>664</v>
      </c>
      <c r="AG135" s="90">
        <v>1</v>
      </c>
      <c r="AI135" s="66"/>
    </row>
    <row r="136" spans="1:35" ht="24" x14ac:dyDescent="0.25">
      <c r="A136" s="78">
        <v>134</v>
      </c>
      <c r="B136" s="78" t="s">
        <v>407</v>
      </c>
      <c r="C136" s="78" t="s">
        <v>407</v>
      </c>
      <c r="D136" s="78">
        <v>0</v>
      </c>
      <c r="E136" s="78">
        <v>1</v>
      </c>
      <c r="F136" s="78" t="s">
        <v>437</v>
      </c>
      <c r="G136" s="80" t="s">
        <v>780</v>
      </c>
      <c r="H136" s="81" t="s">
        <v>793</v>
      </c>
      <c r="I136" s="79" t="s">
        <v>410</v>
      </c>
      <c r="J136" s="79" t="s">
        <v>772</v>
      </c>
      <c r="K136" s="79"/>
      <c r="L136" s="102" t="s">
        <v>791</v>
      </c>
      <c r="M136" s="83" t="s">
        <v>412</v>
      </c>
      <c r="N136" s="141" t="s">
        <v>792</v>
      </c>
      <c r="O136" s="85" t="s">
        <v>415</v>
      </c>
      <c r="P136" s="85" t="s">
        <v>415</v>
      </c>
      <c r="Q136" s="141" t="s">
        <v>792</v>
      </c>
      <c r="R136" s="87">
        <v>1</v>
      </c>
      <c r="S136" s="88" t="s">
        <v>34</v>
      </c>
      <c r="T136" s="98" t="s">
        <v>469</v>
      </c>
      <c r="U136" s="98" t="s">
        <v>470</v>
      </c>
      <c r="V136" s="83"/>
      <c r="W136" s="96" t="s">
        <v>471</v>
      </c>
      <c r="X136" s="98"/>
      <c r="Y136" s="98"/>
      <c r="Z136" s="90" t="s">
        <v>422</v>
      </c>
      <c r="AA136" s="99">
        <v>5445.8249999999998</v>
      </c>
      <c r="AB136" s="92" t="s">
        <v>424</v>
      </c>
      <c r="AC136" s="83"/>
      <c r="AD136" s="83"/>
      <c r="AE136" s="100"/>
      <c r="AF136" s="90" t="s">
        <v>664</v>
      </c>
      <c r="AG136" s="90">
        <v>1</v>
      </c>
      <c r="AI136" s="66"/>
    </row>
    <row r="137" spans="1:35" ht="24" x14ac:dyDescent="0.25">
      <c r="A137" s="78">
        <v>135</v>
      </c>
      <c r="B137" s="78" t="s">
        <v>407</v>
      </c>
      <c r="C137" s="78" t="s">
        <v>407</v>
      </c>
      <c r="D137" s="78">
        <v>1</v>
      </c>
      <c r="E137" s="78">
        <v>1</v>
      </c>
      <c r="F137" s="78" t="s">
        <v>437</v>
      </c>
      <c r="G137" s="80" t="s">
        <v>794</v>
      </c>
      <c r="H137" s="81" t="s">
        <v>795</v>
      </c>
      <c r="I137" s="78" t="s">
        <v>410</v>
      </c>
      <c r="J137" s="78" t="s">
        <v>772</v>
      </c>
      <c r="K137" s="78"/>
      <c r="L137" s="102" t="s">
        <v>796</v>
      </c>
      <c r="M137" s="83" t="s">
        <v>412</v>
      </c>
      <c r="N137" s="83" t="s">
        <v>797</v>
      </c>
      <c r="O137" s="85" t="s">
        <v>415</v>
      </c>
      <c r="P137" s="85" t="s">
        <v>415</v>
      </c>
      <c r="Q137" s="83" t="s">
        <v>797</v>
      </c>
      <c r="R137" s="87">
        <v>1</v>
      </c>
      <c r="S137" s="88" t="s">
        <v>34</v>
      </c>
      <c r="T137" s="98" t="s">
        <v>410</v>
      </c>
      <c r="U137" s="96" t="s">
        <v>798</v>
      </c>
      <c r="V137" s="83"/>
      <c r="W137" s="96" t="s">
        <v>421</v>
      </c>
      <c r="X137" s="98"/>
      <c r="Y137" s="98"/>
      <c r="Z137" s="90" t="s">
        <v>422</v>
      </c>
      <c r="AA137" s="99">
        <v>6435.9749999999995</v>
      </c>
      <c r="AB137" s="92" t="s">
        <v>424</v>
      </c>
      <c r="AC137" s="83"/>
      <c r="AD137" s="83"/>
      <c r="AE137" s="100"/>
      <c r="AF137" s="141" t="s">
        <v>664</v>
      </c>
      <c r="AG137" s="90">
        <v>1</v>
      </c>
      <c r="AI137" s="66"/>
    </row>
    <row r="138" spans="1:35" ht="24" x14ac:dyDescent="0.25">
      <c r="A138" s="78">
        <v>136</v>
      </c>
      <c r="B138" s="78" t="s">
        <v>407</v>
      </c>
      <c r="C138" s="78" t="s">
        <v>407</v>
      </c>
      <c r="D138" s="78">
        <v>1</v>
      </c>
      <c r="E138" s="78">
        <v>1</v>
      </c>
      <c r="F138" s="78" t="s">
        <v>430</v>
      </c>
      <c r="G138" s="80" t="s">
        <v>799</v>
      </c>
      <c r="H138" s="81" t="s">
        <v>800</v>
      </c>
      <c r="I138" s="79" t="s">
        <v>410</v>
      </c>
      <c r="J138" s="79" t="s">
        <v>772</v>
      </c>
      <c r="K138" s="79"/>
      <c r="L138" s="102" t="s">
        <v>801</v>
      </c>
      <c r="M138" s="83" t="s">
        <v>412</v>
      </c>
      <c r="N138" s="83" t="s">
        <v>802</v>
      </c>
      <c r="O138" s="85" t="s">
        <v>415</v>
      </c>
      <c r="P138" s="85" t="s">
        <v>415</v>
      </c>
      <c r="Q138" s="83" t="s">
        <v>802</v>
      </c>
      <c r="R138" s="87">
        <v>1</v>
      </c>
      <c r="S138" s="88" t="s">
        <v>34</v>
      </c>
      <c r="T138" s="98" t="s">
        <v>410</v>
      </c>
      <c r="U138" s="98"/>
      <c r="V138" s="83"/>
      <c r="W138" s="98" t="s">
        <v>421</v>
      </c>
      <c r="X138" s="98"/>
      <c r="Y138" s="98"/>
      <c r="Z138" s="90" t="s">
        <v>422</v>
      </c>
      <c r="AA138" s="99">
        <v>5775.875</v>
      </c>
      <c r="AB138" s="92" t="s">
        <v>424</v>
      </c>
      <c r="AC138" s="83"/>
      <c r="AD138" s="83"/>
      <c r="AE138" s="100"/>
      <c r="AF138" s="141" t="s">
        <v>664</v>
      </c>
      <c r="AG138" s="90">
        <v>1</v>
      </c>
      <c r="AI138" s="66"/>
    </row>
    <row r="139" spans="1:35" ht="24" x14ac:dyDescent="0.25">
      <c r="A139" s="78">
        <v>137</v>
      </c>
      <c r="B139" s="78" t="s">
        <v>407</v>
      </c>
      <c r="C139" s="78" t="s">
        <v>407</v>
      </c>
      <c r="D139" s="78">
        <v>1</v>
      </c>
      <c r="E139" s="78">
        <v>1</v>
      </c>
      <c r="F139" s="78" t="s">
        <v>430</v>
      </c>
      <c r="G139" s="80" t="s">
        <v>799</v>
      </c>
      <c r="H139" s="81" t="s">
        <v>803</v>
      </c>
      <c r="I139" s="78" t="s">
        <v>410</v>
      </c>
      <c r="J139" s="78" t="s">
        <v>772</v>
      </c>
      <c r="K139" s="78"/>
      <c r="L139" s="102" t="s">
        <v>801</v>
      </c>
      <c r="M139" s="83" t="s">
        <v>412</v>
      </c>
      <c r="N139" s="83" t="s">
        <v>802</v>
      </c>
      <c r="O139" s="85" t="s">
        <v>415</v>
      </c>
      <c r="P139" s="85" t="s">
        <v>415</v>
      </c>
      <c r="Q139" s="83" t="s">
        <v>802</v>
      </c>
      <c r="R139" s="87">
        <v>1</v>
      </c>
      <c r="S139" s="88" t="s">
        <v>34</v>
      </c>
      <c r="T139" s="98" t="s">
        <v>410</v>
      </c>
      <c r="U139" s="98"/>
      <c r="V139" s="83"/>
      <c r="W139" s="98" t="s">
        <v>421</v>
      </c>
      <c r="X139" s="98"/>
      <c r="Y139" s="98"/>
      <c r="Z139" s="90" t="s">
        <v>422</v>
      </c>
      <c r="AA139" s="99">
        <v>5775.875</v>
      </c>
      <c r="AB139" s="92" t="s">
        <v>424</v>
      </c>
      <c r="AC139" s="83"/>
      <c r="AD139" s="83"/>
      <c r="AE139" s="100"/>
      <c r="AF139" s="141" t="s">
        <v>664</v>
      </c>
      <c r="AG139" s="90">
        <v>1</v>
      </c>
      <c r="AI139" s="66"/>
    </row>
    <row r="140" spans="1:35" ht="24" x14ac:dyDescent="0.25">
      <c r="A140" s="78">
        <v>138</v>
      </c>
      <c r="B140" s="78" t="s">
        <v>407</v>
      </c>
      <c r="C140" s="78" t="s">
        <v>407</v>
      </c>
      <c r="D140" s="78">
        <v>1</v>
      </c>
      <c r="E140" s="78">
        <v>1</v>
      </c>
      <c r="F140" s="78" t="s">
        <v>430</v>
      </c>
      <c r="G140" s="80" t="s">
        <v>799</v>
      </c>
      <c r="H140" s="81" t="s">
        <v>804</v>
      </c>
      <c r="I140" s="79" t="s">
        <v>410</v>
      </c>
      <c r="J140" s="79" t="s">
        <v>772</v>
      </c>
      <c r="K140" s="79"/>
      <c r="L140" s="102" t="s">
        <v>801</v>
      </c>
      <c r="M140" s="83" t="s">
        <v>412</v>
      </c>
      <c r="N140" s="83" t="s">
        <v>802</v>
      </c>
      <c r="O140" s="85" t="s">
        <v>415</v>
      </c>
      <c r="P140" s="85" t="s">
        <v>415</v>
      </c>
      <c r="Q140" s="83" t="s">
        <v>802</v>
      </c>
      <c r="R140" s="87">
        <v>1</v>
      </c>
      <c r="S140" s="88" t="s">
        <v>34</v>
      </c>
      <c r="T140" s="98" t="s">
        <v>410</v>
      </c>
      <c r="U140" s="98"/>
      <c r="V140" s="83"/>
      <c r="W140" s="98" t="s">
        <v>421</v>
      </c>
      <c r="X140" s="98"/>
      <c r="Y140" s="98"/>
      <c r="Z140" s="90" t="s">
        <v>422</v>
      </c>
      <c r="AA140" s="99">
        <v>5775.875</v>
      </c>
      <c r="AB140" s="92" t="s">
        <v>424</v>
      </c>
      <c r="AC140" s="83"/>
      <c r="AD140" s="83"/>
      <c r="AE140" s="100"/>
      <c r="AF140" s="141" t="s">
        <v>664</v>
      </c>
      <c r="AG140" s="90">
        <v>1</v>
      </c>
      <c r="AI140" s="66"/>
    </row>
    <row r="141" spans="1:35" ht="24" x14ac:dyDescent="0.25">
      <c r="A141" s="78">
        <v>139</v>
      </c>
      <c r="B141" s="78" t="s">
        <v>407</v>
      </c>
      <c r="C141" s="78" t="s">
        <v>407</v>
      </c>
      <c r="D141" s="78">
        <v>0</v>
      </c>
      <c r="E141" s="78">
        <v>1</v>
      </c>
      <c r="F141" s="78" t="s">
        <v>437</v>
      </c>
      <c r="G141" s="80" t="s">
        <v>799</v>
      </c>
      <c r="H141" s="81" t="s">
        <v>805</v>
      </c>
      <c r="I141" s="78" t="s">
        <v>410</v>
      </c>
      <c r="J141" s="78" t="s">
        <v>772</v>
      </c>
      <c r="K141" s="78"/>
      <c r="L141" s="102" t="s">
        <v>806</v>
      </c>
      <c r="M141" s="83" t="s">
        <v>412</v>
      </c>
      <c r="N141" s="83" t="s">
        <v>807</v>
      </c>
      <c r="O141" s="85" t="s">
        <v>415</v>
      </c>
      <c r="P141" s="85" t="s">
        <v>415</v>
      </c>
      <c r="Q141" s="83" t="s">
        <v>807</v>
      </c>
      <c r="R141" s="87">
        <v>1</v>
      </c>
      <c r="S141" s="88" t="s">
        <v>34</v>
      </c>
      <c r="T141" s="98" t="s">
        <v>469</v>
      </c>
      <c r="U141" s="98" t="s">
        <v>470</v>
      </c>
      <c r="V141" s="83"/>
      <c r="W141" s="98" t="s">
        <v>471</v>
      </c>
      <c r="X141" s="98"/>
      <c r="Y141" s="98"/>
      <c r="Z141" s="90" t="s">
        <v>422</v>
      </c>
      <c r="AA141" s="99">
        <v>2480.3257499999995</v>
      </c>
      <c r="AB141" s="92" t="s">
        <v>424</v>
      </c>
      <c r="AC141" s="83"/>
      <c r="AD141" s="83"/>
      <c r="AE141" s="100"/>
      <c r="AF141" s="90" t="s">
        <v>664</v>
      </c>
      <c r="AG141" s="90">
        <v>1</v>
      </c>
      <c r="AI141" s="66"/>
    </row>
    <row r="142" spans="1:35" ht="24" x14ac:dyDescent="0.25">
      <c r="A142" s="78">
        <v>140</v>
      </c>
      <c r="B142" s="78" t="s">
        <v>407</v>
      </c>
      <c r="C142" s="78" t="s">
        <v>407</v>
      </c>
      <c r="D142" s="78">
        <v>0</v>
      </c>
      <c r="E142" s="78">
        <v>1</v>
      </c>
      <c r="F142" s="78" t="s">
        <v>437</v>
      </c>
      <c r="G142" s="80" t="s">
        <v>799</v>
      </c>
      <c r="H142" s="81" t="s">
        <v>808</v>
      </c>
      <c r="I142" s="79" t="s">
        <v>410</v>
      </c>
      <c r="J142" s="79" t="s">
        <v>772</v>
      </c>
      <c r="K142" s="79"/>
      <c r="L142" s="102" t="s">
        <v>806</v>
      </c>
      <c r="M142" s="83" t="s">
        <v>412</v>
      </c>
      <c r="N142" s="83" t="s">
        <v>807</v>
      </c>
      <c r="O142" s="85" t="s">
        <v>415</v>
      </c>
      <c r="P142" s="85" t="s">
        <v>415</v>
      </c>
      <c r="Q142" s="83" t="s">
        <v>807</v>
      </c>
      <c r="R142" s="88">
        <v>1</v>
      </c>
      <c r="S142" s="88" t="s">
        <v>34</v>
      </c>
      <c r="T142" s="98" t="s">
        <v>469</v>
      </c>
      <c r="U142" s="98" t="s">
        <v>470</v>
      </c>
      <c r="V142" s="83"/>
      <c r="W142" s="98" t="s">
        <v>471</v>
      </c>
      <c r="X142" s="98"/>
      <c r="Y142" s="98"/>
      <c r="Z142" s="90" t="s">
        <v>422</v>
      </c>
      <c r="AA142" s="99">
        <v>2480.3257499999995</v>
      </c>
      <c r="AB142" s="92" t="s">
        <v>424</v>
      </c>
      <c r="AC142" s="83"/>
      <c r="AD142" s="83"/>
      <c r="AE142" s="100"/>
      <c r="AF142" s="90" t="s">
        <v>664</v>
      </c>
      <c r="AG142" s="90">
        <v>1</v>
      </c>
      <c r="AI142" s="66"/>
    </row>
    <row r="143" spans="1:35" ht="24" x14ac:dyDescent="0.25">
      <c r="A143" s="78">
        <v>141</v>
      </c>
      <c r="B143" s="78" t="s">
        <v>407</v>
      </c>
      <c r="C143" s="78" t="s">
        <v>407</v>
      </c>
      <c r="D143" s="78">
        <v>0</v>
      </c>
      <c r="E143" s="78">
        <v>1</v>
      </c>
      <c r="F143" s="78" t="s">
        <v>437</v>
      </c>
      <c r="G143" s="80" t="s">
        <v>799</v>
      </c>
      <c r="H143" s="81" t="s">
        <v>809</v>
      </c>
      <c r="I143" s="78" t="s">
        <v>410</v>
      </c>
      <c r="J143" s="78" t="s">
        <v>772</v>
      </c>
      <c r="K143" s="78"/>
      <c r="L143" s="102" t="s">
        <v>806</v>
      </c>
      <c r="M143" s="83" t="s">
        <v>412</v>
      </c>
      <c r="N143" s="83" t="s">
        <v>807</v>
      </c>
      <c r="O143" s="85" t="s">
        <v>415</v>
      </c>
      <c r="P143" s="85" t="s">
        <v>415</v>
      </c>
      <c r="Q143" s="83" t="s">
        <v>807</v>
      </c>
      <c r="R143" s="88">
        <v>1</v>
      </c>
      <c r="S143" s="88" t="s">
        <v>34</v>
      </c>
      <c r="T143" s="98" t="s">
        <v>469</v>
      </c>
      <c r="U143" s="98" t="s">
        <v>470</v>
      </c>
      <c r="V143" s="83"/>
      <c r="W143" s="98" t="s">
        <v>471</v>
      </c>
      <c r="X143" s="98"/>
      <c r="Y143" s="98"/>
      <c r="Z143" s="90" t="s">
        <v>422</v>
      </c>
      <c r="AA143" s="99">
        <v>2480.3257499999995</v>
      </c>
      <c r="AB143" s="92" t="s">
        <v>424</v>
      </c>
      <c r="AC143" s="83"/>
      <c r="AD143" s="83"/>
      <c r="AE143" s="100"/>
      <c r="AF143" s="90" t="s">
        <v>664</v>
      </c>
      <c r="AG143" s="90">
        <v>1</v>
      </c>
      <c r="AI143" s="66"/>
    </row>
    <row r="144" spans="1:35" ht="24" x14ac:dyDescent="0.25">
      <c r="A144" s="113">
        <v>142</v>
      </c>
      <c r="B144" s="113" t="s">
        <v>407</v>
      </c>
      <c r="C144" s="113"/>
      <c r="D144" s="113">
        <v>0</v>
      </c>
      <c r="E144" s="113">
        <v>0</v>
      </c>
      <c r="F144" s="113" t="s">
        <v>810</v>
      </c>
      <c r="G144" s="115" t="s">
        <v>438</v>
      </c>
      <c r="H144" s="116" t="s">
        <v>811</v>
      </c>
      <c r="I144" s="114" t="s">
        <v>469</v>
      </c>
      <c r="J144" s="114"/>
      <c r="K144" s="114"/>
      <c r="L144" s="127" t="s">
        <v>812</v>
      </c>
      <c r="M144" s="118"/>
      <c r="N144" s="118"/>
      <c r="O144" s="120"/>
      <c r="P144" s="120"/>
      <c r="Q144" s="118"/>
      <c r="R144" s="119">
        <v>1</v>
      </c>
      <c r="S144" s="119" t="s">
        <v>34</v>
      </c>
      <c r="T144" s="121" t="s">
        <v>410</v>
      </c>
      <c r="U144" s="121"/>
      <c r="V144" s="118"/>
      <c r="W144" s="121"/>
      <c r="X144" s="121"/>
      <c r="Y144" s="121"/>
      <c r="Z144" s="123"/>
      <c r="AA144" s="142"/>
      <c r="AB144" s="125"/>
      <c r="AC144" s="118"/>
      <c r="AD144" s="118"/>
      <c r="AE144" s="126"/>
      <c r="AF144" s="123" t="s">
        <v>664</v>
      </c>
      <c r="AG144" s="123">
        <v>1</v>
      </c>
      <c r="AI144" s="66"/>
    </row>
    <row r="145" spans="1:35" ht="24" x14ac:dyDescent="0.25">
      <c r="A145" s="113">
        <v>143</v>
      </c>
      <c r="B145" s="113" t="s">
        <v>407</v>
      </c>
      <c r="C145" s="113"/>
      <c r="D145" s="113">
        <v>0</v>
      </c>
      <c r="E145" s="113">
        <v>0</v>
      </c>
      <c r="F145" s="113" t="s">
        <v>810</v>
      </c>
      <c r="G145" s="115" t="s">
        <v>438</v>
      </c>
      <c r="H145" s="116" t="s">
        <v>813</v>
      </c>
      <c r="I145" s="113" t="s">
        <v>469</v>
      </c>
      <c r="J145" s="113"/>
      <c r="K145" s="113"/>
      <c r="L145" s="127" t="s">
        <v>812</v>
      </c>
      <c r="M145" s="118"/>
      <c r="N145" s="118"/>
      <c r="O145" s="120"/>
      <c r="P145" s="120"/>
      <c r="Q145" s="118"/>
      <c r="R145" s="119">
        <v>1</v>
      </c>
      <c r="S145" s="119" t="s">
        <v>34</v>
      </c>
      <c r="T145" s="121" t="s">
        <v>410</v>
      </c>
      <c r="U145" s="121"/>
      <c r="V145" s="118"/>
      <c r="W145" s="121"/>
      <c r="X145" s="121"/>
      <c r="Y145" s="121"/>
      <c r="Z145" s="123"/>
      <c r="AA145" s="142"/>
      <c r="AB145" s="125"/>
      <c r="AC145" s="118"/>
      <c r="AD145" s="118"/>
      <c r="AE145" s="126"/>
      <c r="AF145" s="123" t="s">
        <v>664</v>
      </c>
      <c r="AG145" s="123">
        <v>1</v>
      </c>
      <c r="AI145" s="66"/>
    </row>
    <row r="146" spans="1:35" ht="24" x14ac:dyDescent="0.25">
      <c r="A146" s="113">
        <v>144</v>
      </c>
      <c r="B146" s="113" t="s">
        <v>407</v>
      </c>
      <c r="C146" s="113"/>
      <c r="D146" s="113">
        <v>0</v>
      </c>
      <c r="E146" s="113">
        <v>0</v>
      </c>
      <c r="F146" s="113" t="s">
        <v>810</v>
      </c>
      <c r="G146" s="115" t="s">
        <v>438</v>
      </c>
      <c r="H146" s="116" t="s">
        <v>814</v>
      </c>
      <c r="I146" s="114" t="s">
        <v>469</v>
      </c>
      <c r="J146" s="114"/>
      <c r="K146" s="114"/>
      <c r="L146" s="127" t="s">
        <v>812</v>
      </c>
      <c r="M146" s="118"/>
      <c r="N146" s="118"/>
      <c r="O146" s="120"/>
      <c r="P146" s="120"/>
      <c r="Q146" s="118"/>
      <c r="R146" s="119">
        <v>1</v>
      </c>
      <c r="S146" s="119" t="s">
        <v>34</v>
      </c>
      <c r="T146" s="121" t="s">
        <v>410</v>
      </c>
      <c r="U146" s="121"/>
      <c r="V146" s="118"/>
      <c r="W146" s="121"/>
      <c r="X146" s="121"/>
      <c r="Y146" s="121"/>
      <c r="Z146" s="123"/>
      <c r="AA146" s="142"/>
      <c r="AB146" s="125"/>
      <c r="AC146" s="118"/>
      <c r="AD146" s="118"/>
      <c r="AE146" s="126"/>
      <c r="AF146" s="123" t="s">
        <v>664</v>
      </c>
      <c r="AG146" s="123">
        <v>1</v>
      </c>
      <c r="AI146" s="66"/>
    </row>
    <row r="147" spans="1:35" ht="24" x14ac:dyDescent="0.25">
      <c r="A147" s="113">
        <v>145</v>
      </c>
      <c r="B147" s="113" t="s">
        <v>407</v>
      </c>
      <c r="C147" s="113"/>
      <c r="D147" s="113">
        <v>0</v>
      </c>
      <c r="E147" s="113">
        <v>0</v>
      </c>
      <c r="F147" s="113" t="s">
        <v>810</v>
      </c>
      <c r="G147" s="115" t="s">
        <v>438</v>
      </c>
      <c r="H147" s="116" t="s">
        <v>815</v>
      </c>
      <c r="I147" s="113" t="s">
        <v>469</v>
      </c>
      <c r="J147" s="113"/>
      <c r="K147" s="113"/>
      <c r="L147" s="127" t="s">
        <v>812</v>
      </c>
      <c r="M147" s="118"/>
      <c r="N147" s="118"/>
      <c r="O147" s="120"/>
      <c r="P147" s="120"/>
      <c r="Q147" s="118"/>
      <c r="R147" s="119">
        <v>1</v>
      </c>
      <c r="S147" s="119" t="s">
        <v>34</v>
      </c>
      <c r="T147" s="121" t="s">
        <v>410</v>
      </c>
      <c r="U147" s="121"/>
      <c r="V147" s="118"/>
      <c r="W147" s="121"/>
      <c r="X147" s="121"/>
      <c r="Y147" s="121"/>
      <c r="Z147" s="123"/>
      <c r="AA147" s="142"/>
      <c r="AB147" s="125"/>
      <c r="AC147" s="118"/>
      <c r="AD147" s="118"/>
      <c r="AE147" s="126"/>
      <c r="AF147" s="123" t="s">
        <v>664</v>
      </c>
      <c r="AG147" s="123">
        <v>1</v>
      </c>
      <c r="AI147" s="66"/>
    </row>
    <row r="148" spans="1:35" ht="24" x14ac:dyDescent="0.25">
      <c r="A148" s="113">
        <v>146</v>
      </c>
      <c r="B148" s="113"/>
      <c r="C148" s="113" t="s">
        <v>407</v>
      </c>
      <c r="D148" s="113">
        <v>1</v>
      </c>
      <c r="E148" s="113">
        <v>2</v>
      </c>
      <c r="F148" s="113" t="s">
        <v>810</v>
      </c>
      <c r="G148" s="115" t="s">
        <v>816</v>
      </c>
      <c r="H148" s="116" t="s">
        <v>817</v>
      </c>
      <c r="I148" s="113" t="s">
        <v>469</v>
      </c>
      <c r="J148" s="113"/>
      <c r="K148" s="113"/>
      <c r="L148" s="127" t="s">
        <v>818</v>
      </c>
      <c r="M148" s="118"/>
      <c r="N148" s="118"/>
      <c r="O148" s="120"/>
      <c r="P148" s="120"/>
      <c r="Q148" s="118"/>
      <c r="R148" s="119">
        <v>1</v>
      </c>
      <c r="S148" s="119" t="s">
        <v>34</v>
      </c>
      <c r="T148" s="121" t="s">
        <v>410</v>
      </c>
      <c r="U148" s="121"/>
      <c r="V148" s="118"/>
      <c r="W148" s="121"/>
      <c r="X148" s="121"/>
      <c r="Y148" s="121"/>
      <c r="Z148" s="123"/>
      <c r="AA148" s="142"/>
      <c r="AB148" s="125"/>
      <c r="AC148" s="118"/>
      <c r="AD148" s="118"/>
      <c r="AE148" s="126"/>
      <c r="AF148" s="123" t="s">
        <v>664</v>
      </c>
      <c r="AG148" s="123">
        <v>1</v>
      </c>
      <c r="AI148" s="66"/>
    </row>
    <row r="149" spans="1:35" ht="24" x14ac:dyDescent="0.25">
      <c r="A149" s="113">
        <v>147</v>
      </c>
      <c r="B149" s="113" t="s">
        <v>407</v>
      </c>
      <c r="C149" s="113"/>
      <c r="D149" s="113">
        <v>0</v>
      </c>
      <c r="E149" s="113">
        <v>0</v>
      </c>
      <c r="F149" s="113" t="s">
        <v>810</v>
      </c>
      <c r="G149" s="115" t="s">
        <v>438</v>
      </c>
      <c r="H149" s="116" t="s">
        <v>819</v>
      </c>
      <c r="I149" s="114" t="s">
        <v>469</v>
      </c>
      <c r="J149" s="114"/>
      <c r="K149" s="114"/>
      <c r="L149" s="127" t="s">
        <v>820</v>
      </c>
      <c r="M149" s="118"/>
      <c r="N149" s="118"/>
      <c r="O149" s="120"/>
      <c r="P149" s="120"/>
      <c r="Q149" s="118"/>
      <c r="R149" s="119">
        <v>1</v>
      </c>
      <c r="S149" s="119" t="s">
        <v>34</v>
      </c>
      <c r="T149" s="121"/>
      <c r="U149" s="121"/>
      <c r="V149" s="118"/>
      <c r="W149" s="121"/>
      <c r="X149" s="121"/>
      <c r="Y149" s="121"/>
      <c r="Z149" s="123"/>
      <c r="AA149" s="142"/>
      <c r="AB149" s="125"/>
      <c r="AC149" s="118"/>
      <c r="AD149" s="118"/>
      <c r="AE149" s="126"/>
      <c r="AF149" s="123" t="s">
        <v>664</v>
      </c>
      <c r="AG149" s="123">
        <v>1</v>
      </c>
      <c r="AI149" s="66"/>
    </row>
    <row r="150" spans="1:35" ht="24" x14ac:dyDescent="0.25">
      <c r="A150" s="113">
        <v>148</v>
      </c>
      <c r="B150" s="113" t="s">
        <v>407</v>
      </c>
      <c r="C150" s="113"/>
      <c r="D150" s="113">
        <v>0</v>
      </c>
      <c r="E150" s="113">
        <v>0</v>
      </c>
      <c r="F150" s="113" t="s">
        <v>810</v>
      </c>
      <c r="G150" s="115" t="s">
        <v>438</v>
      </c>
      <c r="H150" s="116" t="s">
        <v>821</v>
      </c>
      <c r="I150" s="113" t="s">
        <v>469</v>
      </c>
      <c r="J150" s="113"/>
      <c r="K150" s="113"/>
      <c r="L150" s="127" t="s">
        <v>822</v>
      </c>
      <c r="M150" s="118"/>
      <c r="N150" s="118"/>
      <c r="O150" s="120"/>
      <c r="P150" s="120"/>
      <c r="Q150" s="118"/>
      <c r="R150" s="119">
        <v>1</v>
      </c>
      <c r="S150" s="119" t="s">
        <v>34</v>
      </c>
      <c r="T150" s="121"/>
      <c r="U150" s="121"/>
      <c r="V150" s="118"/>
      <c r="W150" s="121"/>
      <c r="X150" s="121"/>
      <c r="Y150" s="121"/>
      <c r="Z150" s="123"/>
      <c r="AA150" s="142"/>
      <c r="AB150" s="125"/>
      <c r="AC150" s="118"/>
      <c r="AD150" s="118"/>
      <c r="AE150" s="126"/>
      <c r="AF150" s="123" t="s">
        <v>664</v>
      </c>
      <c r="AG150" s="123">
        <v>1</v>
      </c>
      <c r="AI150" s="66"/>
    </row>
    <row r="151" spans="1:35" ht="24" x14ac:dyDescent="0.25">
      <c r="A151" s="113">
        <v>149</v>
      </c>
      <c r="B151" s="113" t="s">
        <v>407</v>
      </c>
      <c r="C151" s="143"/>
      <c r="D151" s="143">
        <v>0</v>
      </c>
      <c r="E151" s="143">
        <v>0</v>
      </c>
      <c r="F151" s="143" t="s">
        <v>810</v>
      </c>
      <c r="G151" s="115" t="s">
        <v>438</v>
      </c>
      <c r="H151" s="144" t="s">
        <v>823</v>
      </c>
      <c r="I151" s="143" t="s">
        <v>469</v>
      </c>
      <c r="J151" s="143"/>
      <c r="K151" s="143" t="s">
        <v>824</v>
      </c>
      <c r="L151" s="145" t="s">
        <v>825</v>
      </c>
      <c r="M151" s="118" t="s">
        <v>546</v>
      </c>
      <c r="N151" s="118" t="s">
        <v>826</v>
      </c>
      <c r="O151" s="120" t="s">
        <v>810</v>
      </c>
      <c r="P151" s="120"/>
      <c r="Q151" s="118" t="s">
        <v>826</v>
      </c>
      <c r="R151" s="129">
        <v>2</v>
      </c>
      <c r="S151" s="119" t="s">
        <v>34</v>
      </c>
      <c r="T151" s="121" t="s">
        <v>410</v>
      </c>
      <c r="U151" s="121"/>
      <c r="V151" s="146"/>
      <c r="W151" s="147"/>
      <c r="X151" s="147"/>
      <c r="Y151" s="147"/>
      <c r="Z151" s="147"/>
      <c r="AA151" s="147"/>
      <c r="AB151" s="124"/>
      <c r="AC151" s="147"/>
      <c r="AD151" s="147"/>
      <c r="AE151" s="147"/>
      <c r="AF151" s="147" t="s">
        <v>664</v>
      </c>
      <c r="AG151" s="129">
        <v>2</v>
      </c>
      <c r="AI151" s="66"/>
    </row>
    <row r="152" spans="1:35" ht="24" x14ac:dyDescent="0.25">
      <c r="A152" s="148">
        <v>150</v>
      </c>
      <c r="B152" s="148" t="s">
        <v>407</v>
      </c>
      <c r="C152" s="148" t="s">
        <v>407</v>
      </c>
      <c r="D152" s="148">
        <v>0</v>
      </c>
      <c r="E152" s="148">
        <v>0</v>
      </c>
      <c r="F152" s="148" t="s">
        <v>430</v>
      </c>
      <c r="G152" s="149" t="s">
        <v>827</v>
      </c>
      <c r="H152" s="150" t="s">
        <v>828</v>
      </c>
      <c r="I152" s="151" t="s">
        <v>469</v>
      </c>
      <c r="J152" s="151"/>
      <c r="K152" s="151"/>
      <c r="L152" s="152" t="s">
        <v>829</v>
      </c>
      <c r="M152" s="153"/>
      <c r="N152" s="153"/>
      <c r="O152" s="154"/>
      <c r="P152" s="154"/>
      <c r="Q152" s="153"/>
      <c r="R152" s="155">
        <v>1</v>
      </c>
      <c r="S152" s="155" t="s">
        <v>34</v>
      </c>
      <c r="T152" s="156"/>
      <c r="U152" s="156"/>
      <c r="V152" s="153"/>
      <c r="W152" s="156"/>
      <c r="X152" s="156"/>
      <c r="Y152" s="156"/>
      <c r="Z152" s="157"/>
      <c r="AA152" s="158"/>
      <c r="AB152" s="159"/>
      <c r="AC152" s="153"/>
      <c r="AD152" s="153"/>
      <c r="AE152" s="160"/>
      <c r="AF152" s="157" t="s">
        <v>664</v>
      </c>
      <c r="AG152" s="157">
        <v>1</v>
      </c>
      <c r="AI152" s="66"/>
    </row>
    <row r="153" spans="1:35" ht="24" x14ac:dyDescent="0.25">
      <c r="A153" s="148">
        <v>151</v>
      </c>
      <c r="B153" s="148" t="s">
        <v>407</v>
      </c>
      <c r="C153" s="148" t="s">
        <v>407</v>
      </c>
      <c r="D153" s="148">
        <v>0</v>
      </c>
      <c r="E153" s="148">
        <v>0</v>
      </c>
      <c r="F153" s="148" t="s">
        <v>430</v>
      </c>
      <c r="G153" s="149" t="s">
        <v>830</v>
      </c>
      <c r="H153" s="150" t="s">
        <v>831</v>
      </c>
      <c r="I153" s="148" t="s">
        <v>469</v>
      </c>
      <c r="J153" s="148"/>
      <c r="K153" s="148"/>
      <c r="L153" s="152" t="s">
        <v>830</v>
      </c>
      <c r="M153" s="153"/>
      <c r="N153" s="153"/>
      <c r="O153" s="154"/>
      <c r="P153" s="154"/>
      <c r="Q153" s="153"/>
      <c r="R153" s="155">
        <v>1</v>
      </c>
      <c r="S153" s="155" t="s">
        <v>34</v>
      </c>
      <c r="T153" s="156"/>
      <c r="U153" s="156"/>
      <c r="V153" s="153"/>
      <c r="W153" s="156"/>
      <c r="X153" s="156"/>
      <c r="Y153" s="156"/>
      <c r="Z153" s="157"/>
      <c r="AA153" s="158"/>
      <c r="AB153" s="159"/>
      <c r="AC153" s="153"/>
      <c r="AD153" s="153"/>
      <c r="AE153" s="160"/>
      <c r="AF153" s="157" t="s">
        <v>664</v>
      </c>
      <c r="AG153" s="157">
        <v>1</v>
      </c>
      <c r="AI153" s="66"/>
    </row>
    <row r="154" spans="1:35" ht="24" x14ac:dyDescent="0.25">
      <c r="A154" s="148">
        <v>152</v>
      </c>
      <c r="B154" s="148" t="s">
        <v>407</v>
      </c>
      <c r="C154" s="148" t="s">
        <v>407</v>
      </c>
      <c r="D154" s="148">
        <v>1</v>
      </c>
      <c r="E154" s="148">
        <v>1</v>
      </c>
      <c r="F154" s="161" t="s">
        <v>810</v>
      </c>
      <c r="G154" s="149" t="s">
        <v>832</v>
      </c>
      <c r="H154" s="162" t="s">
        <v>833</v>
      </c>
      <c r="I154" s="151" t="s">
        <v>469</v>
      </c>
      <c r="J154" s="151"/>
      <c r="K154" s="151" t="s">
        <v>834</v>
      </c>
      <c r="L154" s="163" t="s">
        <v>835</v>
      </c>
      <c r="M154" s="153"/>
      <c r="N154" s="153" t="s">
        <v>836</v>
      </c>
      <c r="O154" s="154" t="s">
        <v>837</v>
      </c>
      <c r="P154" s="154" t="s">
        <v>837</v>
      </c>
      <c r="Q154" s="153" t="s">
        <v>836</v>
      </c>
      <c r="R154" s="164">
        <v>1</v>
      </c>
      <c r="S154" s="155" t="s">
        <v>34</v>
      </c>
      <c r="T154" s="156" t="s">
        <v>410</v>
      </c>
      <c r="U154" s="156"/>
      <c r="V154" s="165"/>
      <c r="W154" s="166"/>
      <c r="X154" s="166"/>
      <c r="Y154" s="166"/>
      <c r="Z154" s="166"/>
      <c r="AA154" s="166"/>
      <c r="AB154" s="167"/>
      <c r="AC154" s="166"/>
      <c r="AD154" s="166"/>
      <c r="AE154" s="166"/>
      <c r="AF154" s="166" t="s">
        <v>664</v>
      </c>
      <c r="AG154" s="164">
        <v>1</v>
      </c>
      <c r="AI154" s="66"/>
    </row>
    <row r="155" spans="1:35" ht="24" x14ac:dyDescent="0.25">
      <c r="A155" s="148">
        <v>153</v>
      </c>
      <c r="B155" s="148" t="s">
        <v>407</v>
      </c>
      <c r="C155" s="148" t="s">
        <v>407</v>
      </c>
      <c r="D155" s="148">
        <v>1</v>
      </c>
      <c r="E155" s="148">
        <v>1</v>
      </c>
      <c r="F155" s="161" t="s">
        <v>810</v>
      </c>
      <c r="G155" s="149" t="s">
        <v>838</v>
      </c>
      <c r="H155" s="162" t="s">
        <v>839</v>
      </c>
      <c r="I155" s="148" t="s">
        <v>469</v>
      </c>
      <c r="J155" s="148"/>
      <c r="K155" s="148" t="s">
        <v>840</v>
      </c>
      <c r="L155" s="163" t="s">
        <v>841</v>
      </c>
      <c r="M155" s="153"/>
      <c r="N155" s="153" t="s">
        <v>842</v>
      </c>
      <c r="O155" s="154" t="s">
        <v>843</v>
      </c>
      <c r="P155" s="154" t="s">
        <v>843</v>
      </c>
      <c r="Q155" s="153" t="s">
        <v>842</v>
      </c>
      <c r="R155" s="164">
        <v>1</v>
      </c>
      <c r="S155" s="155" t="s">
        <v>34</v>
      </c>
      <c r="T155" s="156" t="s">
        <v>410</v>
      </c>
      <c r="U155" s="156"/>
      <c r="V155" s="165"/>
      <c r="W155" s="166"/>
      <c r="X155" s="166"/>
      <c r="Y155" s="166"/>
      <c r="Z155" s="166"/>
      <c r="AA155" s="166"/>
      <c r="AB155" s="167"/>
      <c r="AC155" s="166"/>
      <c r="AD155" s="166"/>
      <c r="AE155" s="166"/>
      <c r="AF155" s="166" t="s">
        <v>664</v>
      </c>
      <c r="AG155" s="164">
        <v>1</v>
      </c>
      <c r="AI155" s="66"/>
    </row>
    <row r="156" spans="1:35" ht="24" x14ac:dyDescent="0.25">
      <c r="A156" s="148">
        <v>154</v>
      </c>
      <c r="B156" s="148" t="s">
        <v>407</v>
      </c>
      <c r="C156" s="148" t="s">
        <v>407</v>
      </c>
      <c r="D156" s="148">
        <v>1</v>
      </c>
      <c r="E156" s="148">
        <v>1</v>
      </c>
      <c r="F156" s="161" t="s">
        <v>810</v>
      </c>
      <c r="G156" s="149" t="s">
        <v>844</v>
      </c>
      <c r="H156" s="162" t="s">
        <v>845</v>
      </c>
      <c r="I156" s="151" t="s">
        <v>469</v>
      </c>
      <c r="J156" s="151"/>
      <c r="K156" s="151" t="s">
        <v>846</v>
      </c>
      <c r="L156" s="163" t="s">
        <v>847</v>
      </c>
      <c r="M156" s="153"/>
      <c r="N156" s="153" t="s">
        <v>848</v>
      </c>
      <c r="O156" s="154" t="s">
        <v>837</v>
      </c>
      <c r="P156" s="154" t="s">
        <v>837</v>
      </c>
      <c r="Q156" s="153" t="s">
        <v>848</v>
      </c>
      <c r="R156" s="164">
        <v>1</v>
      </c>
      <c r="S156" s="155" t="s">
        <v>34</v>
      </c>
      <c r="T156" s="156" t="s">
        <v>410</v>
      </c>
      <c r="U156" s="156"/>
      <c r="V156" s="165"/>
      <c r="W156" s="166"/>
      <c r="X156" s="166"/>
      <c r="Y156" s="166"/>
      <c r="Z156" s="166"/>
      <c r="AA156" s="166"/>
      <c r="AB156" s="167"/>
      <c r="AC156" s="166"/>
      <c r="AD156" s="166"/>
      <c r="AE156" s="166"/>
      <c r="AF156" s="166" t="s">
        <v>664</v>
      </c>
      <c r="AG156" s="164">
        <v>1</v>
      </c>
      <c r="AI156" s="66"/>
    </row>
    <row r="157" spans="1:35" ht="24" x14ac:dyDescent="0.25">
      <c r="A157" s="148">
        <v>155</v>
      </c>
      <c r="B157" s="148" t="s">
        <v>407</v>
      </c>
      <c r="C157" s="148" t="s">
        <v>407</v>
      </c>
      <c r="D157" s="161">
        <v>1</v>
      </c>
      <c r="E157" s="161">
        <v>1</v>
      </c>
      <c r="F157" s="161" t="s">
        <v>810</v>
      </c>
      <c r="G157" s="149" t="s">
        <v>849</v>
      </c>
      <c r="H157" s="162" t="s">
        <v>850</v>
      </c>
      <c r="I157" s="148" t="s">
        <v>469</v>
      </c>
      <c r="J157" s="148"/>
      <c r="K157" s="148" t="s">
        <v>851</v>
      </c>
      <c r="L157" s="163" t="s">
        <v>852</v>
      </c>
      <c r="M157" s="153"/>
      <c r="N157" s="153" t="s">
        <v>853</v>
      </c>
      <c r="O157" s="154" t="s">
        <v>837</v>
      </c>
      <c r="P157" s="154" t="s">
        <v>837</v>
      </c>
      <c r="Q157" s="153" t="s">
        <v>853</v>
      </c>
      <c r="R157" s="164">
        <v>1</v>
      </c>
      <c r="S157" s="155" t="s">
        <v>34</v>
      </c>
      <c r="T157" s="156" t="s">
        <v>410</v>
      </c>
      <c r="U157" s="156"/>
      <c r="V157" s="165"/>
      <c r="W157" s="166"/>
      <c r="X157" s="166"/>
      <c r="Y157" s="166"/>
      <c r="Z157" s="166"/>
      <c r="AA157" s="166"/>
      <c r="AB157" s="167"/>
      <c r="AC157" s="166"/>
      <c r="AD157" s="166"/>
      <c r="AE157" s="166"/>
      <c r="AF157" s="166" t="s">
        <v>664</v>
      </c>
      <c r="AG157" s="164">
        <v>1</v>
      </c>
      <c r="AI157" s="66"/>
    </row>
    <row r="158" spans="1:35" ht="24" x14ac:dyDescent="0.25">
      <c r="A158" s="148">
        <v>156</v>
      </c>
      <c r="B158" s="148" t="s">
        <v>407</v>
      </c>
      <c r="C158" s="148" t="s">
        <v>407</v>
      </c>
      <c r="D158" s="161">
        <v>1</v>
      </c>
      <c r="E158" s="161">
        <v>1</v>
      </c>
      <c r="F158" s="161" t="s">
        <v>810</v>
      </c>
      <c r="G158" s="149" t="s">
        <v>854</v>
      </c>
      <c r="H158" s="162" t="s">
        <v>855</v>
      </c>
      <c r="I158" s="151" t="s">
        <v>469</v>
      </c>
      <c r="J158" s="151"/>
      <c r="K158" s="151" t="s">
        <v>856</v>
      </c>
      <c r="L158" s="163" t="s">
        <v>124</v>
      </c>
      <c r="M158" s="153"/>
      <c r="N158" s="153" t="s">
        <v>857</v>
      </c>
      <c r="O158" s="154" t="s">
        <v>837</v>
      </c>
      <c r="P158" s="154" t="s">
        <v>837</v>
      </c>
      <c r="Q158" s="153" t="s">
        <v>857</v>
      </c>
      <c r="R158" s="164">
        <v>1</v>
      </c>
      <c r="S158" s="155" t="s">
        <v>34</v>
      </c>
      <c r="T158" s="156" t="s">
        <v>410</v>
      </c>
      <c r="U158" s="156"/>
      <c r="V158" s="165"/>
      <c r="W158" s="166"/>
      <c r="X158" s="166"/>
      <c r="Y158" s="166"/>
      <c r="Z158" s="166"/>
      <c r="AA158" s="166"/>
      <c r="AB158" s="167"/>
      <c r="AC158" s="166"/>
      <c r="AD158" s="166"/>
      <c r="AE158" s="166"/>
      <c r="AF158" s="166" t="s">
        <v>664</v>
      </c>
      <c r="AG158" s="164">
        <v>1</v>
      </c>
      <c r="AI158" s="66"/>
    </row>
    <row r="159" spans="1:35" ht="24" x14ac:dyDescent="0.25">
      <c r="A159" s="11">
        <v>157</v>
      </c>
      <c r="B159" s="11" t="s">
        <v>407</v>
      </c>
      <c r="C159" s="11" t="s">
        <v>407</v>
      </c>
      <c r="D159" s="11">
        <v>1</v>
      </c>
      <c r="E159" s="11">
        <v>1</v>
      </c>
      <c r="F159" s="11" t="s">
        <v>437</v>
      </c>
      <c r="G159" s="168" t="s">
        <v>858</v>
      </c>
      <c r="H159" s="169" t="s">
        <v>654</v>
      </c>
      <c r="I159" s="11" t="s">
        <v>410</v>
      </c>
      <c r="J159" s="11" t="s">
        <v>859</v>
      </c>
      <c r="K159" s="11"/>
      <c r="L159" s="170" t="s">
        <v>860</v>
      </c>
      <c r="M159" s="15" t="s">
        <v>412</v>
      </c>
      <c r="N159" s="15" t="s">
        <v>861</v>
      </c>
      <c r="O159" s="15" t="s">
        <v>415</v>
      </c>
      <c r="P159" s="15" t="s">
        <v>415</v>
      </c>
      <c r="Q159" s="15" t="s">
        <v>861</v>
      </c>
      <c r="R159" s="171">
        <v>1</v>
      </c>
      <c r="S159" s="171" t="s">
        <v>34</v>
      </c>
      <c r="T159" s="172" t="s">
        <v>410</v>
      </c>
      <c r="U159" s="172" t="s">
        <v>862</v>
      </c>
      <c r="V159" s="15"/>
      <c r="W159" s="172" t="s">
        <v>421</v>
      </c>
      <c r="X159" s="172"/>
      <c r="Y159" s="172"/>
      <c r="Z159" s="173" t="s">
        <v>422</v>
      </c>
      <c r="AA159" s="174" t="s">
        <v>423</v>
      </c>
      <c r="AB159" s="175" t="s">
        <v>424</v>
      </c>
      <c r="AC159" s="15"/>
      <c r="AD159" s="15"/>
      <c r="AE159" s="176"/>
      <c r="AF159" s="15" t="s">
        <v>445</v>
      </c>
      <c r="AG159" s="173">
        <v>1</v>
      </c>
      <c r="AI159" s="66"/>
    </row>
    <row r="160" spans="1:35" x14ac:dyDescent="0.25">
      <c r="A160" s="177">
        <v>158</v>
      </c>
      <c r="B160" s="177" t="s">
        <v>407</v>
      </c>
      <c r="C160" s="177" t="s">
        <v>407</v>
      </c>
      <c r="D160" s="178">
        <v>1</v>
      </c>
      <c r="E160" s="178">
        <v>1</v>
      </c>
      <c r="F160" s="177" t="s">
        <v>437</v>
      </c>
      <c r="G160" s="179" t="s">
        <v>863</v>
      </c>
      <c r="H160" s="180" t="s">
        <v>864</v>
      </c>
      <c r="I160" s="177" t="s">
        <v>410</v>
      </c>
      <c r="J160" s="177" t="s">
        <v>569</v>
      </c>
      <c r="K160" s="177"/>
      <c r="L160" s="181" t="s">
        <v>865</v>
      </c>
      <c r="M160" s="182" t="s">
        <v>412</v>
      </c>
      <c r="N160" s="182" t="s">
        <v>866</v>
      </c>
      <c r="O160" s="183" t="s">
        <v>415</v>
      </c>
      <c r="P160" s="183" t="s">
        <v>415</v>
      </c>
      <c r="Q160" s="182" t="s">
        <v>866</v>
      </c>
      <c r="R160" s="184">
        <v>1</v>
      </c>
      <c r="S160" s="184" t="s">
        <v>34</v>
      </c>
      <c r="T160" s="185" t="s">
        <v>469</v>
      </c>
      <c r="U160" s="185" t="s">
        <v>470</v>
      </c>
      <c r="V160" s="182"/>
      <c r="W160" s="186" t="s">
        <v>421</v>
      </c>
      <c r="X160" s="185"/>
      <c r="Y160" s="185"/>
      <c r="Z160" s="187" t="s">
        <v>422</v>
      </c>
      <c r="AA160" s="188">
        <v>4538.1875</v>
      </c>
      <c r="AB160" s="189" t="s">
        <v>424</v>
      </c>
      <c r="AC160" s="182"/>
      <c r="AD160" s="182"/>
      <c r="AE160" s="190"/>
      <c r="AF160" s="182" t="s">
        <v>861</v>
      </c>
      <c r="AG160" s="187">
        <v>1</v>
      </c>
      <c r="AI160" s="66"/>
    </row>
    <row r="161" spans="1:35" x14ac:dyDescent="0.25">
      <c r="A161" s="177">
        <v>159</v>
      </c>
      <c r="B161" s="177" t="s">
        <v>407</v>
      </c>
      <c r="C161" s="191" t="s">
        <v>407</v>
      </c>
      <c r="D161" s="178">
        <v>1</v>
      </c>
      <c r="E161" s="178">
        <v>1</v>
      </c>
      <c r="F161" s="191" t="s">
        <v>430</v>
      </c>
      <c r="G161" s="179" t="s">
        <v>867</v>
      </c>
      <c r="H161" s="180" t="s">
        <v>868</v>
      </c>
      <c r="I161" s="191" t="s">
        <v>410</v>
      </c>
      <c r="J161" s="191"/>
      <c r="K161" s="191" t="s">
        <v>869</v>
      </c>
      <c r="L161" s="181" t="s">
        <v>870</v>
      </c>
      <c r="M161" s="182" t="s">
        <v>412</v>
      </c>
      <c r="N161" s="182" t="s">
        <v>871</v>
      </c>
      <c r="O161" s="182">
        <v>50435</v>
      </c>
      <c r="P161" s="183" t="s">
        <v>415</v>
      </c>
      <c r="Q161" s="182" t="s">
        <v>871</v>
      </c>
      <c r="R161" s="184">
        <v>1</v>
      </c>
      <c r="S161" s="184" t="s">
        <v>34</v>
      </c>
      <c r="T161" s="185" t="s">
        <v>410</v>
      </c>
      <c r="U161" s="185"/>
      <c r="V161" s="182"/>
      <c r="W161" s="186"/>
      <c r="X161" s="185"/>
      <c r="Y161" s="185"/>
      <c r="Z161" s="187"/>
      <c r="AA161" s="192"/>
      <c r="AB161" s="189"/>
      <c r="AC161" s="182"/>
      <c r="AD161" s="182"/>
      <c r="AE161" s="190"/>
      <c r="AF161" s="182" t="s">
        <v>872</v>
      </c>
      <c r="AG161" s="187">
        <v>1</v>
      </c>
      <c r="AI161" s="66"/>
    </row>
    <row r="162" spans="1:35" x14ac:dyDescent="0.25">
      <c r="A162" s="177">
        <v>160</v>
      </c>
      <c r="B162" s="177" t="s">
        <v>407</v>
      </c>
      <c r="C162" s="191" t="s">
        <v>407</v>
      </c>
      <c r="D162" s="178">
        <v>1</v>
      </c>
      <c r="E162" s="178">
        <v>1</v>
      </c>
      <c r="F162" s="191" t="s">
        <v>430</v>
      </c>
      <c r="G162" s="179" t="s">
        <v>873</v>
      </c>
      <c r="H162" s="180" t="s">
        <v>874</v>
      </c>
      <c r="I162" s="177" t="s">
        <v>410</v>
      </c>
      <c r="J162" s="177"/>
      <c r="K162" s="177"/>
      <c r="L162" s="181" t="s">
        <v>875</v>
      </c>
      <c r="M162" s="182" t="s">
        <v>412</v>
      </c>
      <c r="N162" s="182" t="s">
        <v>872</v>
      </c>
      <c r="O162" s="182" t="s">
        <v>415</v>
      </c>
      <c r="P162" s="183" t="s">
        <v>415</v>
      </c>
      <c r="Q162" s="182" t="s">
        <v>872</v>
      </c>
      <c r="R162" s="184">
        <v>1</v>
      </c>
      <c r="S162" s="184" t="s">
        <v>34</v>
      </c>
      <c r="T162" s="185" t="s">
        <v>469</v>
      </c>
      <c r="U162" s="185" t="s">
        <v>470</v>
      </c>
      <c r="V162" s="182"/>
      <c r="W162" s="186" t="s">
        <v>421</v>
      </c>
      <c r="X162" s="185"/>
      <c r="Y162" s="185"/>
      <c r="Z162" s="187"/>
      <c r="AA162" s="192"/>
      <c r="AB162" s="189"/>
      <c r="AC162" s="182"/>
      <c r="AD162" s="182"/>
      <c r="AE162" s="190"/>
      <c r="AF162" s="182" t="s">
        <v>861</v>
      </c>
      <c r="AG162" s="187">
        <v>1</v>
      </c>
      <c r="AI162" s="66"/>
    </row>
    <row r="163" spans="1:35" x14ac:dyDescent="0.25">
      <c r="A163" s="177">
        <v>161</v>
      </c>
      <c r="B163" s="177" t="s">
        <v>407</v>
      </c>
      <c r="C163" s="191" t="s">
        <v>407</v>
      </c>
      <c r="D163" s="178">
        <v>1</v>
      </c>
      <c r="E163" s="178">
        <v>1</v>
      </c>
      <c r="F163" s="191" t="s">
        <v>430</v>
      </c>
      <c r="G163" s="179" t="s">
        <v>876</v>
      </c>
      <c r="H163" s="180" t="s">
        <v>877</v>
      </c>
      <c r="I163" s="191" t="s">
        <v>410</v>
      </c>
      <c r="J163" s="191"/>
      <c r="K163" s="191" t="s">
        <v>878</v>
      </c>
      <c r="L163" s="181" t="s">
        <v>879</v>
      </c>
      <c r="M163" s="182" t="s">
        <v>412</v>
      </c>
      <c r="N163" s="182" t="s">
        <v>880</v>
      </c>
      <c r="O163" s="186">
        <v>33592</v>
      </c>
      <c r="P163" s="183" t="s">
        <v>415</v>
      </c>
      <c r="Q163" s="182" t="s">
        <v>880</v>
      </c>
      <c r="R163" s="184">
        <v>1</v>
      </c>
      <c r="S163" s="184" t="s">
        <v>34</v>
      </c>
      <c r="T163" s="185" t="s">
        <v>410</v>
      </c>
      <c r="U163" s="185"/>
      <c r="V163" s="182"/>
      <c r="W163" s="186"/>
      <c r="X163" s="185"/>
      <c r="Y163" s="185"/>
      <c r="Z163" s="187"/>
      <c r="AA163" s="192"/>
      <c r="AB163" s="189"/>
      <c r="AC163" s="182"/>
      <c r="AD163" s="182"/>
      <c r="AE163" s="190"/>
      <c r="AF163" s="182" t="s">
        <v>872</v>
      </c>
      <c r="AG163" s="187">
        <v>1</v>
      </c>
      <c r="AI163" s="66"/>
    </row>
    <row r="164" spans="1:35" x14ac:dyDescent="0.25">
      <c r="A164" s="177">
        <v>162</v>
      </c>
      <c r="B164" s="177" t="s">
        <v>407</v>
      </c>
      <c r="C164" s="177" t="s">
        <v>407</v>
      </c>
      <c r="D164" s="177">
        <v>0</v>
      </c>
      <c r="E164" s="177">
        <v>1</v>
      </c>
      <c r="F164" s="177" t="s">
        <v>437</v>
      </c>
      <c r="G164" s="179" t="s">
        <v>881</v>
      </c>
      <c r="H164" s="180" t="s">
        <v>882</v>
      </c>
      <c r="I164" s="177" t="s">
        <v>410</v>
      </c>
      <c r="J164" s="177" t="s">
        <v>883</v>
      </c>
      <c r="K164" s="177"/>
      <c r="L164" s="181" t="s">
        <v>884</v>
      </c>
      <c r="M164" s="182" t="s">
        <v>412</v>
      </c>
      <c r="N164" s="182" t="s">
        <v>885</v>
      </c>
      <c r="O164" s="182" t="s">
        <v>886</v>
      </c>
      <c r="P164" s="183" t="s">
        <v>415</v>
      </c>
      <c r="Q164" s="182" t="s">
        <v>885</v>
      </c>
      <c r="R164" s="184">
        <v>1</v>
      </c>
      <c r="S164" s="184" t="s">
        <v>34</v>
      </c>
      <c r="T164" s="185" t="s">
        <v>410</v>
      </c>
      <c r="U164" s="185" t="s">
        <v>887</v>
      </c>
      <c r="V164" s="182" t="s">
        <v>888</v>
      </c>
      <c r="W164" s="186"/>
      <c r="X164" s="185"/>
      <c r="Y164" s="185"/>
      <c r="Z164" s="187" t="s">
        <v>422</v>
      </c>
      <c r="AA164" s="188">
        <v>25765.353249999996</v>
      </c>
      <c r="AB164" s="189" t="s">
        <v>424</v>
      </c>
      <c r="AC164" s="182"/>
      <c r="AD164" s="182"/>
      <c r="AE164" s="190"/>
      <c r="AF164" s="182" t="s">
        <v>861</v>
      </c>
      <c r="AG164" s="187">
        <v>1</v>
      </c>
      <c r="AI164" s="66"/>
    </row>
    <row r="165" spans="1:35" x14ac:dyDescent="0.25">
      <c r="A165" s="177">
        <v>163</v>
      </c>
      <c r="B165" s="177" t="s">
        <v>407</v>
      </c>
      <c r="C165" s="191" t="s">
        <v>407</v>
      </c>
      <c r="D165" s="191">
        <v>1</v>
      </c>
      <c r="E165" s="191">
        <v>1</v>
      </c>
      <c r="F165" s="191" t="s">
        <v>430</v>
      </c>
      <c r="G165" s="179" t="s">
        <v>889</v>
      </c>
      <c r="H165" s="180" t="s">
        <v>890</v>
      </c>
      <c r="I165" s="191" t="s">
        <v>410</v>
      </c>
      <c r="J165" s="191"/>
      <c r="K165" s="191" t="s">
        <v>891</v>
      </c>
      <c r="L165" s="181" t="s">
        <v>892</v>
      </c>
      <c r="M165" s="182" t="s">
        <v>412</v>
      </c>
      <c r="N165" s="182" t="s">
        <v>893</v>
      </c>
      <c r="O165" s="182" t="s">
        <v>886</v>
      </c>
      <c r="P165" s="183" t="s">
        <v>415</v>
      </c>
      <c r="Q165" s="182" t="s">
        <v>893</v>
      </c>
      <c r="R165" s="184">
        <v>1</v>
      </c>
      <c r="S165" s="184" t="s">
        <v>34</v>
      </c>
      <c r="T165" s="185" t="s">
        <v>410</v>
      </c>
      <c r="U165" s="185"/>
      <c r="V165" s="182" t="s">
        <v>894</v>
      </c>
      <c r="W165" s="186"/>
      <c r="X165" s="185"/>
      <c r="Y165" s="185"/>
      <c r="Z165" s="187"/>
      <c r="AA165" s="192"/>
      <c r="AB165" s="189"/>
      <c r="AC165" s="182"/>
      <c r="AD165" s="182"/>
      <c r="AE165" s="190"/>
      <c r="AF165" s="182" t="s">
        <v>861</v>
      </c>
      <c r="AG165" s="187">
        <v>1</v>
      </c>
      <c r="AI165" s="66"/>
    </row>
    <row r="166" spans="1:35" x14ac:dyDescent="0.25">
      <c r="A166" s="177">
        <v>164</v>
      </c>
      <c r="B166" s="177" t="s">
        <v>407</v>
      </c>
      <c r="C166" s="191" t="s">
        <v>407</v>
      </c>
      <c r="D166" s="191">
        <v>1</v>
      </c>
      <c r="E166" s="191">
        <v>1</v>
      </c>
      <c r="F166" s="191" t="s">
        <v>430</v>
      </c>
      <c r="G166" s="179" t="s">
        <v>895</v>
      </c>
      <c r="H166" s="180" t="s">
        <v>896</v>
      </c>
      <c r="I166" s="177" t="s">
        <v>410</v>
      </c>
      <c r="J166" s="177"/>
      <c r="K166" s="177" t="s">
        <v>897</v>
      </c>
      <c r="L166" s="181" t="s">
        <v>898</v>
      </c>
      <c r="M166" s="182" t="s">
        <v>412</v>
      </c>
      <c r="N166" s="182" t="s">
        <v>899</v>
      </c>
      <c r="O166" s="183" t="s">
        <v>459</v>
      </c>
      <c r="P166" s="183" t="s">
        <v>415</v>
      </c>
      <c r="Q166" s="182" t="s">
        <v>899</v>
      </c>
      <c r="R166" s="184">
        <v>1</v>
      </c>
      <c r="S166" s="184" t="s">
        <v>34</v>
      </c>
      <c r="T166" s="185" t="s">
        <v>410</v>
      </c>
      <c r="U166" s="185"/>
      <c r="V166" s="182"/>
      <c r="W166" s="186"/>
      <c r="X166" s="185"/>
      <c r="Y166" s="185"/>
      <c r="Z166" s="187"/>
      <c r="AA166" s="192"/>
      <c r="AB166" s="189"/>
      <c r="AC166" s="182"/>
      <c r="AD166" s="182"/>
      <c r="AE166" s="190"/>
      <c r="AF166" s="187" t="s">
        <v>861</v>
      </c>
      <c r="AG166" s="187">
        <v>1</v>
      </c>
      <c r="AI166" s="66"/>
    </row>
    <row r="167" spans="1:35" x14ac:dyDescent="0.25">
      <c r="A167" s="177">
        <v>165</v>
      </c>
      <c r="B167" s="177" t="s">
        <v>407</v>
      </c>
      <c r="C167" s="191" t="s">
        <v>407</v>
      </c>
      <c r="D167" s="191">
        <v>1</v>
      </c>
      <c r="E167" s="191">
        <v>1</v>
      </c>
      <c r="F167" s="191" t="s">
        <v>430</v>
      </c>
      <c r="G167" s="179" t="s">
        <v>900</v>
      </c>
      <c r="H167" s="180" t="s">
        <v>901</v>
      </c>
      <c r="I167" s="191" t="s">
        <v>410</v>
      </c>
      <c r="J167" s="191"/>
      <c r="K167" s="191" t="s">
        <v>902</v>
      </c>
      <c r="L167" s="181" t="s">
        <v>903</v>
      </c>
      <c r="M167" s="182" t="s">
        <v>412</v>
      </c>
      <c r="N167" s="182" t="s">
        <v>904</v>
      </c>
      <c r="O167" s="183" t="s">
        <v>459</v>
      </c>
      <c r="P167" s="183" t="s">
        <v>415</v>
      </c>
      <c r="Q167" s="182" t="s">
        <v>904</v>
      </c>
      <c r="R167" s="184">
        <v>1</v>
      </c>
      <c r="S167" s="184" t="s">
        <v>34</v>
      </c>
      <c r="T167" s="185" t="s">
        <v>410</v>
      </c>
      <c r="U167" s="185"/>
      <c r="V167" s="182"/>
      <c r="W167" s="186"/>
      <c r="X167" s="185"/>
      <c r="Y167" s="185"/>
      <c r="Z167" s="187"/>
      <c r="AA167" s="192"/>
      <c r="AB167" s="189"/>
      <c r="AC167" s="182"/>
      <c r="AD167" s="182"/>
      <c r="AE167" s="190"/>
      <c r="AF167" s="187" t="s">
        <v>861</v>
      </c>
      <c r="AG167" s="187">
        <v>1</v>
      </c>
      <c r="AI167" s="66"/>
    </row>
    <row r="168" spans="1:35" ht="24" x14ac:dyDescent="0.25">
      <c r="A168" s="193">
        <v>166</v>
      </c>
      <c r="B168" s="193" t="s">
        <v>407</v>
      </c>
      <c r="C168" s="194" t="s">
        <v>407</v>
      </c>
      <c r="D168" s="194">
        <v>1</v>
      </c>
      <c r="E168" s="194">
        <v>1</v>
      </c>
      <c r="F168" s="194" t="s">
        <v>430</v>
      </c>
      <c r="G168" s="195" t="s">
        <v>905</v>
      </c>
      <c r="H168" s="196" t="s">
        <v>906</v>
      </c>
      <c r="I168" s="193" t="s">
        <v>410</v>
      </c>
      <c r="J168" s="193"/>
      <c r="K168" s="193" t="s">
        <v>907</v>
      </c>
      <c r="L168" s="197" t="s">
        <v>908</v>
      </c>
      <c r="M168" s="198" t="s">
        <v>412</v>
      </c>
      <c r="N168" s="198" t="s">
        <v>909</v>
      </c>
      <c r="O168" s="199" t="s">
        <v>415</v>
      </c>
      <c r="P168" s="199" t="s">
        <v>415</v>
      </c>
      <c r="Q168" s="198" t="s">
        <v>909</v>
      </c>
      <c r="R168" s="200">
        <v>1</v>
      </c>
      <c r="S168" s="200" t="s">
        <v>34</v>
      </c>
      <c r="T168" s="201" t="s">
        <v>410</v>
      </c>
      <c r="U168" s="201"/>
      <c r="V168" s="198" t="s">
        <v>910</v>
      </c>
      <c r="W168" s="202" t="s">
        <v>421</v>
      </c>
      <c r="X168" s="201"/>
      <c r="Y168" s="201"/>
      <c r="Z168" s="203"/>
      <c r="AA168" s="204"/>
      <c r="AB168" s="205"/>
      <c r="AC168" s="198"/>
      <c r="AD168" s="198"/>
      <c r="AE168" s="206"/>
      <c r="AF168" s="203" t="s">
        <v>861</v>
      </c>
      <c r="AG168" s="203">
        <v>1</v>
      </c>
      <c r="AI168" s="66"/>
    </row>
    <row r="169" spans="1:35" ht="24" x14ac:dyDescent="0.25">
      <c r="A169" s="193">
        <v>167</v>
      </c>
      <c r="B169" s="193" t="s">
        <v>407</v>
      </c>
      <c r="C169" s="194" t="s">
        <v>407</v>
      </c>
      <c r="D169" s="194">
        <v>1</v>
      </c>
      <c r="E169" s="194">
        <v>1</v>
      </c>
      <c r="F169" s="194" t="s">
        <v>430</v>
      </c>
      <c r="G169" s="195" t="s">
        <v>905</v>
      </c>
      <c r="H169" s="196" t="s">
        <v>911</v>
      </c>
      <c r="I169" s="194" t="s">
        <v>410</v>
      </c>
      <c r="J169" s="194"/>
      <c r="K169" s="194" t="s">
        <v>907</v>
      </c>
      <c r="L169" s="197" t="s">
        <v>908</v>
      </c>
      <c r="M169" s="198" t="s">
        <v>412</v>
      </c>
      <c r="N169" s="198" t="s">
        <v>909</v>
      </c>
      <c r="O169" s="199" t="s">
        <v>415</v>
      </c>
      <c r="P169" s="199" t="s">
        <v>415</v>
      </c>
      <c r="Q169" s="198" t="s">
        <v>909</v>
      </c>
      <c r="R169" s="200">
        <v>1</v>
      </c>
      <c r="S169" s="200" t="s">
        <v>34</v>
      </c>
      <c r="T169" s="201" t="s">
        <v>410</v>
      </c>
      <c r="U169" s="201"/>
      <c r="V169" s="198" t="s">
        <v>910</v>
      </c>
      <c r="W169" s="202" t="s">
        <v>421</v>
      </c>
      <c r="X169" s="201"/>
      <c r="Y169" s="201"/>
      <c r="Z169" s="203"/>
      <c r="AA169" s="204"/>
      <c r="AB169" s="205"/>
      <c r="AC169" s="198"/>
      <c r="AD169" s="198"/>
      <c r="AE169" s="206"/>
      <c r="AF169" s="203" t="s">
        <v>861</v>
      </c>
      <c r="AG169" s="203">
        <v>1</v>
      </c>
      <c r="AI169" s="66"/>
    </row>
    <row r="170" spans="1:35" x14ac:dyDescent="0.25">
      <c r="A170" s="193">
        <v>168</v>
      </c>
      <c r="B170" s="193" t="s">
        <v>407</v>
      </c>
      <c r="C170" s="194" t="s">
        <v>407</v>
      </c>
      <c r="D170" s="194">
        <v>1</v>
      </c>
      <c r="E170" s="194">
        <v>1</v>
      </c>
      <c r="F170" s="194" t="s">
        <v>430</v>
      </c>
      <c r="G170" s="195" t="s">
        <v>912</v>
      </c>
      <c r="H170" s="196" t="s">
        <v>913</v>
      </c>
      <c r="I170" s="193" t="s">
        <v>410</v>
      </c>
      <c r="J170" s="193"/>
      <c r="K170" s="193" t="s">
        <v>914</v>
      </c>
      <c r="L170" s="197" t="s">
        <v>915</v>
      </c>
      <c r="M170" s="198" t="s">
        <v>412</v>
      </c>
      <c r="N170" s="198">
        <v>300167</v>
      </c>
      <c r="O170" s="198">
        <v>59797</v>
      </c>
      <c r="P170" s="199" t="s">
        <v>415</v>
      </c>
      <c r="Q170" s="198">
        <v>300167</v>
      </c>
      <c r="R170" s="200">
        <v>1</v>
      </c>
      <c r="S170" s="200" t="s">
        <v>34</v>
      </c>
      <c r="T170" s="201" t="s">
        <v>410</v>
      </c>
      <c r="U170" s="201"/>
      <c r="V170" s="207"/>
      <c r="W170" s="202"/>
      <c r="X170" s="201"/>
      <c r="Y170" s="201"/>
      <c r="Z170" s="203"/>
      <c r="AA170" s="204"/>
      <c r="AB170" s="205"/>
      <c r="AC170" s="198"/>
      <c r="AD170" s="198"/>
      <c r="AE170" s="206"/>
      <c r="AF170" s="203" t="s">
        <v>861</v>
      </c>
      <c r="AG170" s="203">
        <v>1</v>
      </c>
      <c r="AI170" s="66"/>
    </row>
    <row r="171" spans="1:35" ht="48" x14ac:dyDescent="0.25">
      <c r="A171" s="193">
        <v>169</v>
      </c>
      <c r="B171" s="193" t="s">
        <v>407</v>
      </c>
      <c r="C171" s="193" t="s">
        <v>407</v>
      </c>
      <c r="D171" s="193">
        <v>0</v>
      </c>
      <c r="E171" s="193">
        <v>1</v>
      </c>
      <c r="F171" s="193" t="s">
        <v>437</v>
      </c>
      <c r="G171" s="195" t="s">
        <v>912</v>
      </c>
      <c r="H171" s="196" t="s">
        <v>916</v>
      </c>
      <c r="I171" s="194" t="s">
        <v>410</v>
      </c>
      <c r="J171" s="194" t="s">
        <v>917</v>
      </c>
      <c r="K171" s="194"/>
      <c r="L171" s="197" t="s">
        <v>915</v>
      </c>
      <c r="M171" s="198" t="s">
        <v>412</v>
      </c>
      <c r="N171" s="198">
        <v>300167</v>
      </c>
      <c r="O171" s="198">
        <v>59797</v>
      </c>
      <c r="P171" s="199" t="s">
        <v>415</v>
      </c>
      <c r="Q171" s="198">
        <v>300167</v>
      </c>
      <c r="R171" s="200">
        <v>1</v>
      </c>
      <c r="S171" s="200" t="s">
        <v>34</v>
      </c>
      <c r="T171" s="201" t="s">
        <v>410</v>
      </c>
      <c r="U171" s="201" t="s">
        <v>918</v>
      </c>
      <c r="V171" s="207" t="s">
        <v>919</v>
      </c>
      <c r="W171" s="202"/>
      <c r="X171" s="201"/>
      <c r="Y171" s="201"/>
      <c r="Z171" s="203" t="s">
        <v>422</v>
      </c>
      <c r="AA171" s="204">
        <v>9901.5</v>
      </c>
      <c r="AB171" s="205" t="s">
        <v>424</v>
      </c>
      <c r="AC171" s="198"/>
      <c r="AD171" s="198"/>
      <c r="AE171" s="206"/>
      <c r="AF171" s="203" t="s">
        <v>861</v>
      </c>
      <c r="AG171" s="203">
        <v>1</v>
      </c>
      <c r="AI171" s="66"/>
    </row>
    <row r="172" spans="1:35" x14ac:dyDescent="0.25">
      <c r="A172" s="193">
        <v>170</v>
      </c>
      <c r="B172" s="193" t="s">
        <v>407</v>
      </c>
      <c r="C172" s="193" t="s">
        <v>407</v>
      </c>
      <c r="D172" s="193">
        <v>1</v>
      </c>
      <c r="E172" s="193">
        <v>1</v>
      </c>
      <c r="F172" s="193" t="s">
        <v>437</v>
      </c>
      <c r="G172" s="195" t="s">
        <v>920</v>
      </c>
      <c r="H172" s="196" t="s">
        <v>921</v>
      </c>
      <c r="I172" s="193" t="s">
        <v>410</v>
      </c>
      <c r="J172" s="193" t="s">
        <v>922</v>
      </c>
      <c r="K172" s="193"/>
      <c r="L172" s="197" t="s">
        <v>923</v>
      </c>
      <c r="M172" s="198" t="s">
        <v>412</v>
      </c>
      <c r="N172" s="198" t="s">
        <v>924</v>
      </c>
      <c r="O172" s="198" t="s">
        <v>415</v>
      </c>
      <c r="P172" s="199" t="s">
        <v>415</v>
      </c>
      <c r="Q172" s="198" t="s">
        <v>924</v>
      </c>
      <c r="R172" s="200">
        <v>1</v>
      </c>
      <c r="S172" s="200" t="s">
        <v>34</v>
      </c>
      <c r="T172" s="201" t="s">
        <v>410</v>
      </c>
      <c r="U172" s="202" t="s">
        <v>925</v>
      </c>
      <c r="V172" s="198"/>
      <c r="W172" s="202" t="s">
        <v>926</v>
      </c>
      <c r="X172" s="201"/>
      <c r="Y172" s="201"/>
      <c r="Z172" s="203" t="s">
        <v>422</v>
      </c>
      <c r="AA172" s="204">
        <v>4290.6499999999996</v>
      </c>
      <c r="AB172" s="205" t="s">
        <v>424</v>
      </c>
      <c r="AC172" s="198"/>
      <c r="AD172" s="198"/>
      <c r="AE172" s="206"/>
      <c r="AF172" s="203" t="s">
        <v>861</v>
      </c>
      <c r="AG172" s="203">
        <v>1</v>
      </c>
      <c r="AI172" s="66"/>
    </row>
    <row r="173" spans="1:35" ht="24" x14ac:dyDescent="0.25">
      <c r="A173" s="193">
        <v>171</v>
      </c>
      <c r="B173" s="193" t="s">
        <v>407</v>
      </c>
      <c r="C173" s="193" t="s">
        <v>407</v>
      </c>
      <c r="D173" s="193">
        <v>1</v>
      </c>
      <c r="E173" s="193">
        <v>2</v>
      </c>
      <c r="F173" s="193" t="s">
        <v>437</v>
      </c>
      <c r="G173" s="195" t="s">
        <v>927</v>
      </c>
      <c r="H173" s="196" t="s">
        <v>928</v>
      </c>
      <c r="I173" s="193" t="s">
        <v>469</v>
      </c>
      <c r="J173" s="193" t="s">
        <v>922</v>
      </c>
      <c r="K173" s="193"/>
      <c r="L173" s="197" t="s">
        <v>929</v>
      </c>
      <c r="M173" s="198" t="s">
        <v>412</v>
      </c>
      <c r="N173" s="198" t="s">
        <v>930</v>
      </c>
      <c r="O173" s="198" t="s">
        <v>415</v>
      </c>
      <c r="P173" s="199" t="s">
        <v>415</v>
      </c>
      <c r="Q173" s="198" t="s">
        <v>930</v>
      </c>
      <c r="R173" s="200">
        <v>2</v>
      </c>
      <c r="S173" s="200" t="s">
        <v>34</v>
      </c>
      <c r="T173" s="201" t="s">
        <v>469</v>
      </c>
      <c r="U173" s="201" t="s">
        <v>470</v>
      </c>
      <c r="V173" s="198"/>
      <c r="W173" s="202"/>
      <c r="X173" s="201"/>
      <c r="Y173" s="201"/>
      <c r="Z173" s="203" t="s">
        <v>422</v>
      </c>
      <c r="AA173" s="204">
        <v>742.61249999999995</v>
      </c>
      <c r="AB173" s="205" t="s">
        <v>424</v>
      </c>
      <c r="AC173" s="198"/>
      <c r="AD173" s="198"/>
      <c r="AE173" s="206"/>
      <c r="AF173" s="203" t="s">
        <v>664</v>
      </c>
      <c r="AG173" s="203">
        <v>2</v>
      </c>
      <c r="AI173" s="66"/>
    </row>
    <row r="174" spans="1:35" ht="24" x14ac:dyDescent="0.25">
      <c r="A174" s="193">
        <v>172</v>
      </c>
      <c r="B174" s="193" t="s">
        <v>407</v>
      </c>
      <c r="C174" s="193" t="s">
        <v>407</v>
      </c>
      <c r="D174" s="193">
        <v>1</v>
      </c>
      <c r="E174" s="193">
        <v>1</v>
      </c>
      <c r="F174" s="193" t="s">
        <v>437</v>
      </c>
      <c r="G174" s="195" t="s">
        <v>931</v>
      </c>
      <c r="H174" s="196" t="s">
        <v>932</v>
      </c>
      <c r="I174" s="194" t="s">
        <v>410</v>
      </c>
      <c r="J174" s="194" t="s">
        <v>922</v>
      </c>
      <c r="K174" s="194"/>
      <c r="L174" s="197" t="s">
        <v>933</v>
      </c>
      <c r="M174" s="198" t="s">
        <v>412</v>
      </c>
      <c r="N174" s="208" t="s">
        <v>934</v>
      </c>
      <c r="O174" s="199" t="s">
        <v>415</v>
      </c>
      <c r="P174" s="199" t="s">
        <v>415</v>
      </c>
      <c r="Q174" s="208" t="s">
        <v>934</v>
      </c>
      <c r="R174" s="200">
        <v>1</v>
      </c>
      <c r="S174" s="200" t="s">
        <v>34</v>
      </c>
      <c r="T174" s="201" t="s">
        <v>469</v>
      </c>
      <c r="U174" s="201" t="s">
        <v>470</v>
      </c>
      <c r="V174" s="198"/>
      <c r="W174" s="202" t="s">
        <v>421</v>
      </c>
      <c r="X174" s="201"/>
      <c r="Y174" s="201"/>
      <c r="Z174" s="203" t="s">
        <v>422</v>
      </c>
      <c r="AA174" s="204">
        <v>9406.4249999999993</v>
      </c>
      <c r="AB174" s="205" t="s">
        <v>424</v>
      </c>
      <c r="AC174" s="198"/>
      <c r="AD174" s="198"/>
      <c r="AE174" s="206"/>
      <c r="AF174" s="203" t="s">
        <v>861</v>
      </c>
      <c r="AG174" s="203">
        <v>1</v>
      </c>
      <c r="AI174" s="66"/>
    </row>
    <row r="175" spans="1:35" x14ac:dyDescent="0.25">
      <c r="A175" s="193">
        <v>173</v>
      </c>
      <c r="B175" s="193" t="s">
        <v>407</v>
      </c>
      <c r="C175" s="194" t="s">
        <v>407</v>
      </c>
      <c r="D175" s="194">
        <v>1</v>
      </c>
      <c r="E175" s="194">
        <v>1</v>
      </c>
      <c r="F175" s="194" t="s">
        <v>430</v>
      </c>
      <c r="G175" s="195" t="s">
        <v>935</v>
      </c>
      <c r="H175" s="196" t="s">
        <v>936</v>
      </c>
      <c r="I175" s="193" t="s">
        <v>410</v>
      </c>
      <c r="J175" s="193"/>
      <c r="K175" s="193" t="s">
        <v>937</v>
      </c>
      <c r="L175" s="197" t="s">
        <v>938</v>
      </c>
      <c r="M175" s="198" t="s">
        <v>412</v>
      </c>
      <c r="N175" s="198" t="s">
        <v>939</v>
      </c>
      <c r="O175" s="198" t="s">
        <v>940</v>
      </c>
      <c r="P175" s="199" t="s">
        <v>415</v>
      </c>
      <c r="Q175" s="198" t="s">
        <v>939</v>
      </c>
      <c r="R175" s="200">
        <v>1</v>
      </c>
      <c r="S175" s="200" t="s">
        <v>34</v>
      </c>
      <c r="T175" s="201" t="s">
        <v>410</v>
      </c>
      <c r="U175" s="201"/>
      <c r="V175" s="198"/>
      <c r="W175" s="202"/>
      <c r="X175" s="201"/>
      <c r="Y175" s="201"/>
      <c r="Z175" s="203"/>
      <c r="AA175" s="204"/>
      <c r="AB175" s="205"/>
      <c r="AC175" s="198"/>
      <c r="AD175" s="198"/>
      <c r="AE175" s="206"/>
      <c r="AF175" s="203" t="s">
        <v>861</v>
      </c>
      <c r="AG175" s="203">
        <v>1</v>
      </c>
      <c r="AI175" s="66"/>
    </row>
    <row r="176" spans="1:35" ht="24" x14ac:dyDescent="0.25">
      <c r="A176" s="193">
        <v>174</v>
      </c>
      <c r="B176" s="193" t="s">
        <v>407</v>
      </c>
      <c r="C176" s="193" t="s">
        <v>407</v>
      </c>
      <c r="D176" s="193">
        <v>1</v>
      </c>
      <c r="E176" s="193">
        <v>1</v>
      </c>
      <c r="F176" s="193" t="s">
        <v>437</v>
      </c>
      <c r="G176" s="195" t="s">
        <v>941</v>
      </c>
      <c r="H176" s="196" t="s">
        <v>942</v>
      </c>
      <c r="I176" s="194" t="s">
        <v>410</v>
      </c>
      <c r="J176" s="194" t="s">
        <v>569</v>
      </c>
      <c r="K176" s="194"/>
      <c r="L176" s="197" t="s">
        <v>943</v>
      </c>
      <c r="M176" s="198" t="s">
        <v>412</v>
      </c>
      <c r="N176" s="198" t="s">
        <v>944</v>
      </c>
      <c r="O176" s="199" t="s">
        <v>415</v>
      </c>
      <c r="P176" s="199" t="s">
        <v>415</v>
      </c>
      <c r="Q176" s="198" t="s">
        <v>944</v>
      </c>
      <c r="R176" s="200">
        <v>1</v>
      </c>
      <c r="S176" s="200" t="s">
        <v>34</v>
      </c>
      <c r="T176" s="201" t="s">
        <v>469</v>
      </c>
      <c r="U176" s="201" t="s">
        <v>470</v>
      </c>
      <c r="V176" s="198"/>
      <c r="W176" s="202" t="s">
        <v>421</v>
      </c>
      <c r="X176" s="201"/>
      <c r="Y176" s="201"/>
      <c r="Z176" s="203" t="s">
        <v>422</v>
      </c>
      <c r="AA176" s="204">
        <v>577.58749999999998</v>
      </c>
      <c r="AB176" s="205" t="s">
        <v>424</v>
      </c>
      <c r="AC176" s="198"/>
      <c r="AD176" s="198"/>
      <c r="AE176" s="206"/>
      <c r="AF176" s="203" t="s">
        <v>861</v>
      </c>
      <c r="AG176" s="203">
        <v>1</v>
      </c>
      <c r="AI176" s="66"/>
    </row>
    <row r="177" spans="1:35" x14ac:dyDescent="0.25">
      <c r="A177" s="193">
        <v>175</v>
      </c>
      <c r="B177" s="193" t="s">
        <v>407</v>
      </c>
      <c r="C177" s="193" t="s">
        <v>407</v>
      </c>
      <c r="D177" s="193">
        <v>1</v>
      </c>
      <c r="E177" s="193">
        <v>1</v>
      </c>
      <c r="F177" s="193" t="s">
        <v>430</v>
      </c>
      <c r="G177" s="195" t="s">
        <v>945</v>
      </c>
      <c r="H177" s="196" t="s">
        <v>946</v>
      </c>
      <c r="I177" s="193" t="s">
        <v>469</v>
      </c>
      <c r="J177" s="193"/>
      <c r="K177" s="193"/>
      <c r="L177" s="197" t="s">
        <v>738</v>
      </c>
      <c r="M177" s="198"/>
      <c r="N177" s="198" t="s">
        <v>947</v>
      </c>
      <c r="O177" s="199" t="s">
        <v>415</v>
      </c>
      <c r="P177" s="199" t="s">
        <v>415</v>
      </c>
      <c r="Q177" s="198" t="s">
        <v>947</v>
      </c>
      <c r="R177" s="200">
        <v>1</v>
      </c>
      <c r="S177" s="200" t="s">
        <v>34</v>
      </c>
      <c r="T177" s="201" t="s">
        <v>469</v>
      </c>
      <c r="U177" s="201" t="s">
        <v>470</v>
      </c>
      <c r="V177" s="198"/>
      <c r="W177" s="202"/>
      <c r="X177" s="201"/>
      <c r="Y177" s="201"/>
      <c r="Z177" s="203"/>
      <c r="AA177" s="204"/>
      <c r="AB177" s="205"/>
      <c r="AC177" s="198"/>
      <c r="AD177" s="198"/>
      <c r="AE177" s="206"/>
      <c r="AF177" s="203"/>
      <c r="AG177" s="203">
        <v>1</v>
      </c>
    </row>
    <row r="178" spans="1:35" x14ac:dyDescent="0.25">
      <c r="A178" s="209">
        <v>176</v>
      </c>
      <c r="B178" s="209" t="s">
        <v>407</v>
      </c>
      <c r="C178" s="210" t="s">
        <v>407</v>
      </c>
      <c r="D178" s="209">
        <v>1</v>
      </c>
      <c r="E178" s="209">
        <v>1</v>
      </c>
      <c r="F178" s="210" t="s">
        <v>430</v>
      </c>
      <c r="G178" s="211" t="s">
        <v>948</v>
      </c>
      <c r="H178" s="212" t="s">
        <v>949</v>
      </c>
      <c r="I178" s="210" t="s">
        <v>410</v>
      </c>
      <c r="J178" s="210"/>
      <c r="K178" s="210" t="s">
        <v>950</v>
      </c>
      <c r="L178" s="213" t="s">
        <v>951</v>
      </c>
      <c r="M178" s="214" t="s">
        <v>412</v>
      </c>
      <c r="N178" s="214" t="s">
        <v>952</v>
      </c>
      <c r="O178" s="214" t="s">
        <v>886</v>
      </c>
      <c r="P178" s="215" t="s">
        <v>415</v>
      </c>
      <c r="Q178" s="214" t="s">
        <v>952</v>
      </c>
      <c r="R178" s="216">
        <v>1</v>
      </c>
      <c r="S178" s="216" t="s">
        <v>34</v>
      </c>
      <c r="T178" s="217" t="s">
        <v>410</v>
      </c>
      <c r="U178" s="217"/>
      <c r="V178" s="214"/>
      <c r="W178" s="217"/>
      <c r="X178" s="217"/>
      <c r="Y178" s="217"/>
      <c r="Z178" s="218"/>
      <c r="AA178" s="219"/>
      <c r="AB178" s="220"/>
      <c r="AC178" s="214"/>
      <c r="AD178" s="214"/>
      <c r="AE178" s="221"/>
      <c r="AF178" s="218" t="s">
        <v>861</v>
      </c>
      <c r="AG178" s="218">
        <v>1</v>
      </c>
      <c r="AI178" s="66"/>
    </row>
    <row r="179" spans="1:35" x14ac:dyDescent="0.25">
      <c r="A179" s="209">
        <v>177</v>
      </c>
      <c r="B179" s="209" t="s">
        <v>407</v>
      </c>
      <c r="C179" s="210" t="s">
        <v>407</v>
      </c>
      <c r="D179" s="209">
        <v>1</v>
      </c>
      <c r="E179" s="209">
        <v>1</v>
      </c>
      <c r="F179" s="210" t="s">
        <v>430</v>
      </c>
      <c r="G179" s="211" t="s">
        <v>953</v>
      </c>
      <c r="H179" s="212" t="s">
        <v>954</v>
      </c>
      <c r="I179" s="209" t="s">
        <v>410</v>
      </c>
      <c r="J179" s="209"/>
      <c r="K179" s="209"/>
      <c r="L179" s="213" t="s">
        <v>955</v>
      </c>
      <c r="M179" s="214" t="s">
        <v>412</v>
      </c>
      <c r="N179" s="214" t="s">
        <v>956</v>
      </c>
      <c r="O179" s="214" t="s">
        <v>957</v>
      </c>
      <c r="P179" s="215" t="s">
        <v>415</v>
      </c>
      <c r="Q179" s="214" t="s">
        <v>958</v>
      </c>
      <c r="R179" s="216">
        <v>1</v>
      </c>
      <c r="S179" s="216" t="s">
        <v>34</v>
      </c>
      <c r="T179" s="217" t="s">
        <v>469</v>
      </c>
      <c r="U179" s="217" t="s">
        <v>470</v>
      </c>
      <c r="V179" s="214"/>
      <c r="W179" s="222"/>
      <c r="X179" s="223"/>
      <c r="Y179" s="217"/>
      <c r="Z179" s="218"/>
      <c r="AA179" s="219"/>
      <c r="AB179" s="220"/>
      <c r="AC179" s="214"/>
      <c r="AD179" s="214"/>
      <c r="AE179" s="221"/>
      <c r="AF179" s="218" t="s">
        <v>861</v>
      </c>
      <c r="AG179" s="218">
        <v>1</v>
      </c>
      <c r="AI179" s="66"/>
    </row>
    <row r="180" spans="1:35" x14ac:dyDescent="0.25">
      <c r="A180" s="209">
        <v>178</v>
      </c>
      <c r="B180" s="209" t="s">
        <v>407</v>
      </c>
      <c r="C180" s="210" t="s">
        <v>407</v>
      </c>
      <c r="D180" s="209">
        <v>1</v>
      </c>
      <c r="E180" s="209">
        <v>1</v>
      </c>
      <c r="F180" s="210" t="s">
        <v>430</v>
      </c>
      <c r="G180" s="211" t="s">
        <v>959</v>
      </c>
      <c r="H180" s="212" t="s">
        <v>960</v>
      </c>
      <c r="I180" s="210" t="s">
        <v>410</v>
      </c>
      <c r="J180" s="210"/>
      <c r="K180" s="210" t="s">
        <v>961</v>
      </c>
      <c r="L180" s="213" t="s">
        <v>962</v>
      </c>
      <c r="M180" s="214" t="s">
        <v>412</v>
      </c>
      <c r="N180" s="214" t="s">
        <v>963</v>
      </c>
      <c r="O180" s="214" t="s">
        <v>957</v>
      </c>
      <c r="P180" s="215" t="s">
        <v>415</v>
      </c>
      <c r="Q180" s="214" t="s">
        <v>963</v>
      </c>
      <c r="R180" s="216">
        <v>1</v>
      </c>
      <c r="S180" s="216" t="s">
        <v>34</v>
      </c>
      <c r="T180" s="217" t="s">
        <v>410</v>
      </c>
      <c r="U180" s="217"/>
      <c r="V180" s="214"/>
      <c r="W180" s="222"/>
      <c r="X180" s="217"/>
      <c r="Y180" s="217"/>
      <c r="Z180" s="218"/>
      <c r="AA180" s="219"/>
      <c r="AB180" s="220"/>
      <c r="AC180" s="214"/>
      <c r="AD180" s="214"/>
      <c r="AE180" s="221"/>
      <c r="AF180" s="218" t="s">
        <v>861</v>
      </c>
      <c r="AG180" s="218">
        <v>1</v>
      </c>
      <c r="AI180" s="66"/>
    </row>
    <row r="181" spans="1:35" x14ac:dyDescent="0.25">
      <c r="A181" s="209">
        <v>179</v>
      </c>
      <c r="B181" s="209" t="s">
        <v>407</v>
      </c>
      <c r="C181" s="210" t="s">
        <v>407</v>
      </c>
      <c r="D181" s="209">
        <v>1</v>
      </c>
      <c r="E181" s="209">
        <v>1</v>
      </c>
      <c r="F181" s="210" t="s">
        <v>430</v>
      </c>
      <c r="G181" s="211" t="s">
        <v>964</v>
      </c>
      <c r="H181" s="212" t="s">
        <v>965</v>
      </c>
      <c r="I181" s="209" t="s">
        <v>410</v>
      </c>
      <c r="J181" s="209"/>
      <c r="K181" s="209" t="s">
        <v>961</v>
      </c>
      <c r="L181" s="213" t="s">
        <v>962</v>
      </c>
      <c r="M181" s="214" t="s">
        <v>412</v>
      </c>
      <c r="N181" s="214" t="s">
        <v>963</v>
      </c>
      <c r="O181" s="214" t="s">
        <v>957</v>
      </c>
      <c r="P181" s="215" t="s">
        <v>415</v>
      </c>
      <c r="Q181" s="214" t="s">
        <v>963</v>
      </c>
      <c r="R181" s="216">
        <v>1</v>
      </c>
      <c r="S181" s="216" t="s">
        <v>34</v>
      </c>
      <c r="T181" s="217" t="s">
        <v>410</v>
      </c>
      <c r="U181" s="217"/>
      <c r="V181" s="214"/>
      <c r="W181" s="222"/>
      <c r="X181" s="217"/>
      <c r="Y181" s="217"/>
      <c r="Z181" s="218"/>
      <c r="AA181" s="219"/>
      <c r="AB181" s="220"/>
      <c r="AC181" s="214"/>
      <c r="AD181" s="214"/>
      <c r="AE181" s="221"/>
      <c r="AF181" s="218" t="s">
        <v>861</v>
      </c>
      <c r="AG181" s="218">
        <v>1</v>
      </c>
      <c r="AI181" s="66"/>
    </row>
    <row r="182" spans="1:35" x14ac:dyDescent="0.25">
      <c r="A182" s="209">
        <v>180</v>
      </c>
      <c r="B182" s="209" t="s">
        <v>407</v>
      </c>
      <c r="C182" s="210" t="s">
        <v>407</v>
      </c>
      <c r="D182" s="209">
        <v>1</v>
      </c>
      <c r="E182" s="209">
        <v>1</v>
      </c>
      <c r="F182" s="210" t="s">
        <v>430</v>
      </c>
      <c r="G182" s="211" t="s">
        <v>966</v>
      </c>
      <c r="H182" s="212" t="s">
        <v>967</v>
      </c>
      <c r="I182" s="210" t="s">
        <v>410</v>
      </c>
      <c r="J182" s="210"/>
      <c r="K182" s="210" t="s">
        <v>961</v>
      </c>
      <c r="L182" s="213" t="s">
        <v>962</v>
      </c>
      <c r="M182" s="214" t="s">
        <v>546</v>
      </c>
      <c r="N182" s="214" t="s">
        <v>963</v>
      </c>
      <c r="O182" s="214" t="s">
        <v>957</v>
      </c>
      <c r="P182" s="215" t="s">
        <v>415</v>
      </c>
      <c r="Q182" s="214" t="s">
        <v>963</v>
      </c>
      <c r="R182" s="216">
        <v>1</v>
      </c>
      <c r="S182" s="216" t="s">
        <v>34</v>
      </c>
      <c r="T182" s="217" t="s">
        <v>410</v>
      </c>
      <c r="U182" s="217"/>
      <c r="V182" s="214"/>
      <c r="W182" s="222"/>
      <c r="X182" s="217"/>
      <c r="Y182" s="217"/>
      <c r="Z182" s="218"/>
      <c r="AA182" s="219"/>
      <c r="AB182" s="220"/>
      <c r="AC182" s="214"/>
      <c r="AD182" s="214"/>
      <c r="AE182" s="221"/>
      <c r="AF182" s="218" t="s">
        <v>861</v>
      </c>
      <c r="AG182" s="218">
        <v>1</v>
      </c>
      <c r="AI182" s="66"/>
    </row>
    <row r="183" spans="1:35" x14ac:dyDescent="0.25">
      <c r="A183" s="209">
        <v>181</v>
      </c>
      <c r="B183" s="209" t="s">
        <v>407</v>
      </c>
      <c r="C183" s="210" t="s">
        <v>407</v>
      </c>
      <c r="D183" s="209">
        <v>1</v>
      </c>
      <c r="E183" s="209">
        <v>1</v>
      </c>
      <c r="F183" s="210" t="s">
        <v>430</v>
      </c>
      <c r="G183" s="211" t="s">
        <v>968</v>
      </c>
      <c r="H183" s="212" t="s">
        <v>969</v>
      </c>
      <c r="I183" s="209" t="s">
        <v>410</v>
      </c>
      <c r="J183" s="209"/>
      <c r="K183" s="209" t="s">
        <v>970</v>
      </c>
      <c r="L183" s="213" t="s">
        <v>971</v>
      </c>
      <c r="M183" s="214" t="s">
        <v>412</v>
      </c>
      <c r="N183" s="214" t="s">
        <v>972</v>
      </c>
      <c r="O183" s="215" t="s">
        <v>415</v>
      </c>
      <c r="P183" s="215" t="s">
        <v>415</v>
      </c>
      <c r="Q183" s="214" t="s">
        <v>972</v>
      </c>
      <c r="R183" s="216">
        <v>1</v>
      </c>
      <c r="S183" s="216" t="s">
        <v>34</v>
      </c>
      <c r="T183" s="217" t="s">
        <v>469</v>
      </c>
      <c r="U183" s="217" t="s">
        <v>470</v>
      </c>
      <c r="V183" s="214"/>
      <c r="W183" s="222" t="s">
        <v>973</v>
      </c>
      <c r="X183" s="217" t="s">
        <v>974</v>
      </c>
      <c r="Y183" s="217"/>
      <c r="Z183" s="218"/>
      <c r="AA183" s="219"/>
      <c r="AB183" s="220"/>
      <c r="AC183" s="214"/>
      <c r="AD183" s="214"/>
      <c r="AE183" s="221"/>
      <c r="AF183" s="218" t="s">
        <v>861</v>
      </c>
      <c r="AG183" s="218">
        <v>1</v>
      </c>
      <c r="AI183" s="66"/>
    </row>
    <row r="184" spans="1:35" x14ac:dyDescent="0.25">
      <c r="A184" s="209">
        <v>182</v>
      </c>
      <c r="B184" s="209" t="s">
        <v>407</v>
      </c>
      <c r="C184" s="210" t="s">
        <v>407</v>
      </c>
      <c r="D184" s="209">
        <v>1</v>
      </c>
      <c r="E184" s="209">
        <v>1</v>
      </c>
      <c r="F184" s="210" t="s">
        <v>430</v>
      </c>
      <c r="G184" s="211" t="s">
        <v>975</v>
      </c>
      <c r="H184" s="212" t="s">
        <v>954</v>
      </c>
      <c r="I184" s="210" t="s">
        <v>410</v>
      </c>
      <c r="J184" s="210"/>
      <c r="K184" s="210"/>
      <c r="L184" s="213" t="s">
        <v>976</v>
      </c>
      <c r="M184" s="214" t="s">
        <v>412</v>
      </c>
      <c r="N184" s="214" t="s">
        <v>977</v>
      </c>
      <c r="O184" s="215" t="s">
        <v>978</v>
      </c>
      <c r="P184" s="215" t="s">
        <v>415</v>
      </c>
      <c r="Q184" s="214" t="s">
        <v>977</v>
      </c>
      <c r="R184" s="216">
        <v>1</v>
      </c>
      <c r="S184" s="216" t="s">
        <v>34</v>
      </c>
      <c r="T184" s="217" t="s">
        <v>410</v>
      </c>
      <c r="U184" s="217"/>
      <c r="V184" s="214"/>
      <c r="W184" s="222"/>
      <c r="X184" s="217"/>
      <c r="Y184" s="217"/>
      <c r="Z184" s="218"/>
      <c r="AA184" s="219"/>
      <c r="AB184" s="220"/>
      <c r="AC184" s="214"/>
      <c r="AD184" s="214"/>
      <c r="AE184" s="221"/>
      <c r="AF184" s="218" t="s">
        <v>861</v>
      </c>
      <c r="AG184" s="218">
        <v>1</v>
      </c>
      <c r="AI184" s="66"/>
    </row>
    <row r="185" spans="1:35" x14ac:dyDescent="0.25">
      <c r="A185" s="209">
        <v>183</v>
      </c>
      <c r="B185" s="209" t="s">
        <v>407</v>
      </c>
      <c r="C185" s="210" t="s">
        <v>407</v>
      </c>
      <c r="D185" s="209">
        <v>1</v>
      </c>
      <c r="E185" s="209">
        <v>1</v>
      </c>
      <c r="F185" s="210" t="s">
        <v>430</v>
      </c>
      <c r="G185" s="211" t="s">
        <v>979</v>
      </c>
      <c r="H185" s="212" t="s">
        <v>980</v>
      </c>
      <c r="I185" s="210" t="s">
        <v>410</v>
      </c>
      <c r="J185" s="210"/>
      <c r="K185" s="210"/>
      <c r="L185" s="213" t="s">
        <v>955</v>
      </c>
      <c r="M185" s="214" t="s">
        <v>412</v>
      </c>
      <c r="N185" s="214" t="s">
        <v>956</v>
      </c>
      <c r="O185" s="214" t="s">
        <v>957</v>
      </c>
      <c r="P185" s="215" t="s">
        <v>415</v>
      </c>
      <c r="Q185" s="214" t="s">
        <v>958</v>
      </c>
      <c r="R185" s="216">
        <v>1</v>
      </c>
      <c r="S185" s="216" t="s">
        <v>34</v>
      </c>
      <c r="T185" s="217" t="s">
        <v>469</v>
      </c>
      <c r="U185" s="217" t="s">
        <v>470</v>
      </c>
      <c r="V185" s="214"/>
      <c r="W185" s="222"/>
      <c r="X185" s="223"/>
      <c r="Y185" s="217"/>
      <c r="Z185" s="218"/>
      <c r="AA185" s="219"/>
      <c r="AB185" s="220"/>
      <c r="AC185" s="214"/>
      <c r="AD185" s="214"/>
      <c r="AE185" s="221"/>
      <c r="AF185" s="218" t="s">
        <v>861</v>
      </c>
      <c r="AG185" s="218">
        <v>1</v>
      </c>
      <c r="AI185" s="66"/>
    </row>
    <row r="186" spans="1:35" x14ac:dyDescent="0.25">
      <c r="A186" s="209">
        <v>184</v>
      </c>
      <c r="B186" s="209" t="s">
        <v>407</v>
      </c>
      <c r="C186" s="210" t="s">
        <v>407</v>
      </c>
      <c r="D186" s="209">
        <v>1</v>
      </c>
      <c r="E186" s="209">
        <v>1</v>
      </c>
      <c r="F186" s="210" t="s">
        <v>430</v>
      </c>
      <c r="G186" s="211" t="s">
        <v>981</v>
      </c>
      <c r="H186" s="212" t="s">
        <v>982</v>
      </c>
      <c r="I186" s="209" t="s">
        <v>410</v>
      </c>
      <c r="J186" s="209"/>
      <c r="K186" s="209" t="s">
        <v>961</v>
      </c>
      <c r="L186" s="213" t="s">
        <v>962</v>
      </c>
      <c r="M186" s="214" t="s">
        <v>412</v>
      </c>
      <c r="N186" s="214" t="s">
        <v>963</v>
      </c>
      <c r="O186" s="214" t="s">
        <v>957</v>
      </c>
      <c r="P186" s="215" t="s">
        <v>415</v>
      </c>
      <c r="Q186" s="214" t="s">
        <v>963</v>
      </c>
      <c r="R186" s="216">
        <v>1</v>
      </c>
      <c r="S186" s="216" t="s">
        <v>34</v>
      </c>
      <c r="T186" s="217" t="s">
        <v>410</v>
      </c>
      <c r="U186" s="217"/>
      <c r="V186" s="214"/>
      <c r="W186" s="222"/>
      <c r="X186" s="217"/>
      <c r="Y186" s="217"/>
      <c r="Z186" s="218"/>
      <c r="AA186" s="219"/>
      <c r="AB186" s="220"/>
      <c r="AC186" s="214"/>
      <c r="AD186" s="214"/>
      <c r="AE186" s="221"/>
      <c r="AF186" s="218" t="s">
        <v>861</v>
      </c>
      <c r="AG186" s="218">
        <v>1</v>
      </c>
      <c r="AI186" s="66"/>
    </row>
    <row r="187" spans="1:35" x14ac:dyDescent="0.25">
      <c r="A187" s="209">
        <v>185</v>
      </c>
      <c r="B187" s="209" t="s">
        <v>407</v>
      </c>
      <c r="C187" s="210" t="s">
        <v>407</v>
      </c>
      <c r="D187" s="209">
        <v>1</v>
      </c>
      <c r="E187" s="209">
        <v>1</v>
      </c>
      <c r="F187" s="210" t="s">
        <v>430</v>
      </c>
      <c r="G187" s="211" t="s">
        <v>983</v>
      </c>
      <c r="H187" s="212" t="s">
        <v>984</v>
      </c>
      <c r="I187" s="210" t="s">
        <v>410</v>
      </c>
      <c r="J187" s="210"/>
      <c r="K187" s="210" t="s">
        <v>961</v>
      </c>
      <c r="L187" s="213" t="s">
        <v>962</v>
      </c>
      <c r="M187" s="214" t="s">
        <v>546</v>
      </c>
      <c r="N187" s="214" t="s">
        <v>963</v>
      </c>
      <c r="O187" s="214" t="s">
        <v>957</v>
      </c>
      <c r="P187" s="215" t="s">
        <v>415</v>
      </c>
      <c r="Q187" s="214" t="s">
        <v>963</v>
      </c>
      <c r="R187" s="216">
        <v>1</v>
      </c>
      <c r="S187" s="216" t="s">
        <v>34</v>
      </c>
      <c r="T187" s="217" t="s">
        <v>410</v>
      </c>
      <c r="U187" s="217"/>
      <c r="V187" s="214"/>
      <c r="W187" s="222"/>
      <c r="X187" s="217"/>
      <c r="Y187" s="217"/>
      <c r="Z187" s="218"/>
      <c r="AA187" s="219"/>
      <c r="AB187" s="220"/>
      <c r="AC187" s="214"/>
      <c r="AD187" s="214"/>
      <c r="AE187" s="221"/>
      <c r="AF187" s="218" t="s">
        <v>861</v>
      </c>
      <c r="AG187" s="218">
        <v>1</v>
      </c>
      <c r="AI187" s="66"/>
    </row>
    <row r="188" spans="1:35" x14ac:dyDescent="0.25">
      <c r="A188" s="209">
        <v>186</v>
      </c>
      <c r="B188" s="209" t="s">
        <v>407</v>
      </c>
      <c r="C188" s="210" t="s">
        <v>407</v>
      </c>
      <c r="D188" s="209">
        <v>1</v>
      </c>
      <c r="E188" s="209">
        <v>1</v>
      </c>
      <c r="F188" s="210" t="s">
        <v>430</v>
      </c>
      <c r="G188" s="211" t="s">
        <v>985</v>
      </c>
      <c r="H188" s="212" t="s">
        <v>986</v>
      </c>
      <c r="I188" s="209" t="s">
        <v>410</v>
      </c>
      <c r="J188" s="209"/>
      <c r="K188" s="209" t="s">
        <v>961</v>
      </c>
      <c r="L188" s="213" t="s">
        <v>962</v>
      </c>
      <c r="M188" s="214" t="s">
        <v>412</v>
      </c>
      <c r="N188" s="214" t="s">
        <v>963</v>
      </c>
      <c r="O188" s="214" t="s">
        <v>957</v>
      </c>
      <c r="P188" s="215" t="s">
        <v>415</v>
      </c>
      <c r="Q188" s="214" t="s">
        <v>963</v>
      </c>
      <c r="R188" s="216">
        <v>1</v>
      </c>
      <c r="S188" s="216" t="s">
        <v>34</v>
      </c>
      <c r="T188" s="217" t="s">
        <v>410</v>
      </c>
      <c r="U188" s="217"/>
      <c r="V188" s="214"/>
      <c r="W188" s="222"/>
      <c r="X188" s="217"/>
      <c r="Y188" s="217"/>
      <c r="Z188" s="218"/>
      <c r="AA188" s="219"/>
      <c r="AB188" s="220"/>
      <c r="AC188" s="214"/>
      <c r="AD188" s="214"/>
      <c r="AE188" s="221"/>
      <c r="AF188" s="218" t="s">
        <v>861</v>
      </c>
      <c r="AG188" s="218">
        <v>1</v>
      </c>
      <c r="AI188" s="66"/>
    </row>
    <row r="189" spans="1:35" x14ac:dyDescent="0.25">
      <c r="A189" s="209">
        <v>187</v>
      </c>
      <c r="B189" s="209" t="s">
        <v>407</v>
      </c>
      <c r="C189" s="210" t="s">
        <v>407</v>
      </c>
      <c r="D189" s="209">
        <v>1</v>
      </c>
      <c r="E189" s="209">
        <v>1</v>
      </c>
      <c r="F189" s="210" t="s">
        <v>430</v>
      </c>
      <c r="G189" s="211" t="s">
        <v>987</v>
      </c>
      <c r="H189" s="212" t="s">
        <v>988</v>
      </c>
      <c r="I189" s="210" t="s">
        <v>410</v>
      </c>
      <c r="J189" s="210"/>
      <c r="K189" s="210" t="s">
        <v>961</v>
      </c>
      <c r="L189" s="213" t="s">
        <v>962</v>
      </c>
      <c r="M189" s="214" t="s">
        <v>412</v>
      </c>
      <c r="N189" s="214" t="s">
        <v>963</v>
      </c>
      <c r="O189" s="214" t="s">
        <v>957</v>
      </c>
      <c r="P189" s="215" t="s">
        <v>415</v>
      </c>
      <c r="Q189" s="214" t="s">
        <v>963</v>
      </c>
      <c r="R189" s="216">
        <v>1</v>
      </c>
      <c r="S189" s="216" t="s">
        <v>34</v>
      </c>
      <c r="T189" s="217" t="s">
        <v>410</v>
      </c>
      <c r="U189" s="217"/>
      <c r="V189" s="214"/>
      <c r="W189" s="222"/>
      <c r="X189" s="217"/>
      <c r="Y189" s="217"/>
      <c r="Z189" s="218"/>
      <c r="AA189" s="219"/>
      <c r="AB189" s="220"/>
      <c r="AC189" s="214"/>
      <c r="AD189" s="214"/>
      <c r="AE189" s="221"/>
      <c r="AF189" s="218" t="s">
        <v>861</v>
      </c>
      <c r="AG189" s="218">
        <v>1</v>
      </c>
      <c r="AI189" s="66"/>
    </row>
    <row r="190" spans="1:35" x14ac:dyDescent="0.25">
      <c r="A190" s="209">
        <v>188</v>
      </c>
      <c r="B190" s="209" t="s">
        <v>407</v>
      </c>
      <c r="C190" s="210" t="s">
        <v>407</v>
      </c>
      <c r="D190" s="209">
        <v>1</v>
      </c>
      <c r="E190" s="209">
        <v>1</v>
      </c>
      <c r="F190" s="210" t="s">
        <v>430</v>
      </c>
      <c r="G190" s="211" t="s">
        <v>989</v>
      </c>
      <c r="H190" s="212" t="s">
        <v>990</v>
      </c>
      <c r="I190" s="209" t="s">
        <v>410</v>
      </c>
      <c r="J190" s="209"/>
      <c r="K190" s="209" t="s">
        <v>991</v>
      </c>
      <c r="L190" s="213" t="s">
        <v>992</v>
      </c>
      <c r="M190" s="214" t="s">
        <v>412</v>
      </c>
      <c r="N190" s="214" t="s">
        <v>993</v>
      </c>
      <c r="O190" s="215" t="s">
        <v>415</v>
      </c>
      <c r="P190" s="215" t="s">
        <v>415</v>
      </c>
      <c r="Q190" s="214" t="s">
        <v>993</v>
      </c>
      <c r="R190" s="216">
        <v>1</v>
      </c>
      <c r="S190" s="216" t="s">
        <v>34</v>
      </c>
      <c r="T190" s="217" t="s">
        <v>469</v>
      </c>
      <c r="U190" s="217" t="s">
        <v>470</v>
      </c>
      <c r="V190" s="214"/>
      <c r="W190" s="222" t="s">
        <v>973</v>
      </c>
      <c r="X190" s="223" t="s">
        <v>994</v>
      </c>
      <c r="Y190" s="217"/>
      <c r="Z190" s="218"/>
      <c r="AA190" s="219"/>
      <c r="AB190" s="220"/>
      <c r="AC190" s="214"/>
      <c r="AD190" s="214"/>
      <c r="AE190" s="221"/>
      <c r="AF190" s="218" t="s">
        <v>861</v>
      </c>
      <c r="AG190" s="218">
        <v>1</v>
      </c>
      <c r="AI190" s="66"/>
    </row>
    <row r="191" spans="1:35" x14ac:dyDescent="0.25">
      <c r="A191" s="209">
        <v>189</v>
      </c>
      <c r="B191" s="209" t="s">
        <v>407</v>
      </c>
      <c r="C191" s="210" t="s">
        <v>407</v>
      </c>
      <c r="D191" s="209">
        <v>1</v>
      </c>
      <c r="E191" s="209">
        <v>1</v>
      </c>
      <c r="F191" s="210" t="s">
        <v>430</v>
      </c>
      <c r="G191" s="211" t="s">
        <v>995</v>
      </c>
      <c r="H191" s="212" t="s">
        <v>996</v>
      </c>
      <c r="I191" s="210" t="s">
        <v>410</v>
      </c>
      <c r="J191" s="210"/>
      <c r="K191" s="210" t="s">
        <v>997</v>
      </c>
      <c r="L191" s="213" t="s">
        <v>998</v>
      </c>
      <c r="M191" s="214" t="s">
        <v>412</v>
      </c>
      <c r="N191" s="214" t="s">
        <v>999</v>
      </c>
      <c r="O191" s="214" t="s">
        <v>957</v>
      </c>
      <c r="P191" s="215" t="s">
        <v>415</v>
      </c>
      <c r="Q191" s="214" t="s">
        <v>999</v>
      </c>
      <c r="R191" s="216">
        <v>1</v>
      </c>
      <c r="S191" s="216" t="s">
        <v>34</v>
      </c>
      <c r="T191" s="217" t="s">
        <v>410</v>
      </c>
      <c r="U191" s="217"/>
      <c r="V191" s="214"/>
      <c r="W191" s="222"/>
      <c r="X191" s="214"/>
      <c r="Y191" s="217"/>
      <c r="Z191" s="218"/>
      <c r="AA191" s="219"/>
      <c r="AB191" s="220"/>
      <c r="AC191" s="214"/>
      <c r="AD191" s="214"/>
      <c r="AE191" s="221"/>
      <c r="AF191" s="218" t="s">
        <v>861</v>
      </c>
      <c r="AG191" s="218">
        <v>1</v>
      </c>
      <c r="AI191" s="66"/>
    </row>
    <row r="192" spans="1:35" x14ac:dyDescent="0.25">
      <c r="A192" s="209">
        <v>190</v>
      </c>
      <c r="B192" s="209" t="s">
        <v>407</v>
      </c>
      <c r="C192" s="210" t="s">
        <v>407</v>
      </c>
      <c r="D192" s="209">
        <v>1</v>
      </c>
      <c r="E192" s="209">
        <v>1</v>
      </c>
      <c r="F192" s="210" t="s">
        <v>430</v>
      </c>
      <c r="G192" s="211" t="s">
        <v>1000</v>
      </c>
      <c r="H192" s="212" t="s">
        <v>996</v>
      </c>
      <c r="I192" s="210" t="s">
        <v>410</v>
      </c>
      <c r="J192" s="210"/>
      <c r="K192" s="210"/>
      <c r="L192" s="213" t="s">
        <v>1001</v>
      </c>
      <c r="M192" s="214" t="s">
        <v>412</v>
      </c>
      <c r="N192" s="214" t="s">
        <v>1002</v>
      </c>
      <c r="O192" s="214" t="s">
        <v>957</v>
      </c>
      <c r="P192" s="215" t="s">
        <v>415</v>
      </c>
      <c r="Q192" s="214" t="s">
        <v>1002</v>
      </c>
      <c r="R192" s="216">
        <v>1</v>
      </c>
      <c r="S192" s="216" t="s">
        <v>34</v>
      </c>
      <c r="T192" s="217" t="s">
        <v>410</v>
      </c>
      <c r="U192" s="217"/>
      <c r="V192" s="214"/>
      <c r="W192" s="222"/>
      <c r="X192" s="217"/>
      <c r="Y192" s="217"/>
      <c r="Z192" s="218"/>
      <c r="AA192" s="219"/>
      <c r="AB192" s="220"/>
      <c r="AC192" s="214"/>
      <c r="AD192" s="214"/>
      <c r="AE192" s="221"/>
      <c r="AF192" s="218" t="s">
        <v>999</v>
      </c>
      <c r="AG192" s="218">
        <v>1</v>
      </c>
      <c r="AI192" s="66"/>
    </row>
    <row r="193" spans="1:35" x14ac:dyDescent="0.25">
      <c r="A193" s="209">
        <v>191</v>
      </c>
      <c r="B193" s="209" t="s">
        <v>407</v>
      </c>
      <c r="C193" s="210" t="s">
        <v>407</v>
      </c>
      <c r="D193" s="209">
        <v>1</v>
      </c>
      <c r="E193" s="209">
        <v>1</v>
      </c>
      <c r="F193" s="210" t="s">
        <v>430</v>
      </c>
      <c r="G193" s="211" t="s">
        <v>1003</v>
      </c>
      <c r="H193" s="212" t="s">
        <v>1004</v>
      </c>
      <c r="I193" s="209" t="s">
        <v>410</v>
      </c>
      <c r="J193" s="209"/>
      <c r="K193" s="209" t="s">
        <v>1005</v>
      </c>
      <c r="L193" s="213" t="s">
        <v>1006</v>
      </c>
      <c r="M193" s="214" t="s">
        <v>412</v>
      </c>
      <c r="N193" s="214" t="s">
        <v>1007</v>
      </c>
      <c r="O193" s="214" t="s">
        <v>957</v>
      </c>
      <c r="P193" s="215" t="s">
        <v>415</v>
      </c>
      <c r="Q193" s="214" t="s">
        <v>1007</v>
      </c>
      <c r="R193" s="216">
        <v>1</v>
      </c>
      <c r="S193" s="216" t="s">
        <v>34</v>
      </c>
      <c r="T193" s="217" t="s">
        <v>410</v>
      </c>
      <c r="U193" s="217"/>
      <c r="V193" s="214"/>
      <c r="W193" s="222"/>
      <c r="X193" s="214"/>
      <c r="Y193" s="217"/>
      <c r="Z193" s="218"/>
      <c r="AA193" s="219"/>
      <c r="AB193" s="220"/>
      <c r="AC193" s="214"/>
      <c r="AD193" s="214"/>
      <c r="AE193" s="221"/>
      <c r="AF193" s="218" t="s">
        <v>861</v>
      </c>
      <c r="AG193" s="218">
        <v>1</v>
      </c>
      <c r="AI193" s="66"/>
    </row>
    <row r="194" spans="1:35" x14ac:dyDescent="0.25">
      <c r="A194" s="209">
        <v>192</v>
      </c>
      <c r="B194" s="209" t="s">
        <v>407</v>
      </c>
      <c r="C194" s="210" t="s">
        <v>407</v>
      </c>
      <c r="D194" s="209">
        <v>1</v>
      </c>
      <c r="E194" s="209">
        <v>1</v>
      </c>
      <c r="F194" s="210" t="s">
        <v>430</v>
      </c>
      <c r="G194" s="211" t="s">
        <v>1008</v>
      </c>
      <c r="H194" s="212" t="s">
        <v>1004</v>
      </c>
      <c r="I194" s="210" t="s">
        <v>410</v>
      </c>
      <c r="J194" s="210"/>
      <c r="K194" s="210"/>
      <c r="L194" s="213" t="s">
        <v>1009</v>
      </c>
      <c r="M194" s="214" t="s">
        <v>412</v>
      </c>
      <c r="N194" s="214" t="s">
        <v>1010</v>
      </c>
      <c r="O194" s="214" t="s">
        <v>957</v>
      </c>
      <c r="P194" s="215" t="s">
        <v>415</v>
      </c>
      <c r="Q194" s="214" t="s">
        <v>1010</v>
      </c>
      <c r="R194" s="216">
        <v>1</v>
      </c>
      <c r="S194" s="216" t="s">
        <v>34</v>
      </c>
      <c r="T194" s="217" t="s">
        <v>469</v>
      </c>
      <c r="U194" s="217" t="s">
        <v>470</v>
      </c>
      <c r="V194" s="214"/>
      <c r="W194" s="222"/>
      <c r="X194" s="217"/>
      <c r="Y194" s="217"/>
      <c r="Z194" s="218"/>
      <c r="AA194" s="219"/>
      <c r="AB194" s="220"/>
      <c r="AC194" s="214"/>
      <c r="AD194" s="214"/>
      <c r="AE194" s="221"/>
      <c r="AF194" s="218" t="s">
        <v>1007</v>
      </c>
      <c r="AG194" s="218">
        <v>1</v>
      </c>
      <c r="AI194" s="66"/>
    </row>
    <row r="195" spans="1:35" ht="24" x14ac:dyDescent="0.25">
      <c r="A195" s="209">
        <v>193</v>
      </c>
      <c r="B195" s="209" t="s">
        <v>407</v>
      </c>
      <c r="C195" s="210" t="s">
        <v>407</v>
      </c>
      <c r="D195" s="209">
        <v>1</v>
      </c>
      <c r="E195" s="209">
        <v>1</v>
      </c>
      <c r="F195" s="210" t="s">
        <v>430</v>
      </c>
      <c r="G195" s="211" t="s">
        <v>1011</v>
      </c>
      <c r="H195" s="212" t="s">
        <v>1012</v>
      </c>
      <c r="I195" s="210" t="s">
        <v>410</v>
      </c>
      <c r="J195" s="210"/>
      <c r="K195" s="210" t="s">
        <v>991</v>
      </c>
      <c r="L195" s="213" t="s">
        <v>992</v>
      </c>
      <c r="M195" s="214" t="s">
        <v>412</v>
      </c>
      <c r="N195" s="214" t="s">
        <v>1013</v>
      </c>
      <c r="O195" s="215" t="s">
        <v>415</v>
      </c>
      <c r="P195" s="215" t="s">
        <v>415</v>
      </c>
      <c r="Q195" s="214" t="s">
        <v>1013</v>
      </c>
      <c r="R195" s="216">
        <v>1</v>
      </c>
      <c r="S195" s="216" t="s">
        <v>34</v>
      </c>
      <c r="T195" s="217" t="s">
        <v>469</v>
      </c>
      <c r="U195" s="217" t="s">
        <v>470</v>
      </c>
      <c r="V195" s="214"/>
      <c r="W195" s="222" t="s">
        <v>973</v>
      </c>
      <c r="X195" s="223" t="s">
        <v>1014</v>
      </c>
      <c r="Y195" s="217"/>
      <c r="Z195" s="218"/>
      <c r="AA195" s="219"/>
      <c r="AB195" s="220"/>
      <c r="AC195" s="214"/>
      <c r="AD195" s="214"/>
      <c r="AE195" s="221"/>
      <c r="AF195" s="218" t="s">
        <v>861</v>
      </c>
      <c r="AG195" s="218">
        <v>1</v>
      </c>
      <c r="AI195" s="66"/>
    </row>
    <row r="196" spans="1:35" x14ac:dyDescent="0.25">
      <c r="A196" s="209">
        <v>194</v>
      </c>
      <c r="B196" s="209" t="s">
        <v>407</v>
      </c>
      <c r="C196" s="210" t="s">
        <v>407</v>
      </c>
      <c r="D196" s="209">
        <v>1</v>
      </c>
      <c r="E196" s="209">
        <v>1</v>
      </c>
      <c r="F196" s="210" t="s">
        <v>430</v>
      </c>
      <c r="G196" s="211" t="s">
        <v>1015</v>
      </c>
      <c r="H196" s="212" t="s">
        <v>1016</v>
      </c>
      <c r="I196" s="209" t="s">
        <v>410</v>
      </c>
      <c r="J196" s="209"/>
      <c r="K196" s="209" t="s">
        <v>1005</v>
      </c>
      <c r="L196" s="213" t="s">
        <v>1006</v>
      </c>
      <c r="M196" s="214" t="s">
        <v>412</v>
      </c>
      <c r="N196" s="214" t="s">
        <v>1007</v>
      </c>
      <c r="O196" s="214" t="s">
        <v>957</v>
      </c>
      <c r="P196" s="215" t="s">
        <v>415</v>
      </c>
      <c r="Q196" s="214" t="s">
        <v>1007</v>
      </c>
      <c r="R196" s="216">
        <v>1</v>
      </c>
      <c r="S196" s="216" t="s">
        <v>34</v>
      </c>
      <c r="T196" s="217" t="s">
        <v>410</v>
      </c>
      <c r="U196" s="217"/>
      <c r="V196" s="214"/>
      <c r="W196" s="222"/>
      <c r="X196" s="214"/>
      <c r="Y196" s="217"/>
      <c r="Z196" s="218"/>
      <c r="AA196" s="219"/>
      <c r="AB196" s="220"/>
      <c r="AC196" s="214"/>
      <c r="AD196" s="214"/>
      <c r="AE196" s="221"/>
      <c r="AF196" s="218" t="s">
        <v>861</v>
      </c>
      <c r="AG196" s="218">
        <v>1</v>
      </c>
      <c r="AI196" s="66"/>
    </row>
    <row r="197" spans="1:35" x14ac:dyDescent="0.25">
      <c r="A197" s="209">
        <v>195</v>
      </c>
      <c r="B197" s="209" t="s">
        <v>407</v>
      </c>
      <c r="C197" s="210" t="s">
        <v>407</v>
      </c>
      <c r="D197" s="209">
        <v>1</v>
      </c>
      <c r="E197" s="209">
        <v>1</v>
      </c>
      <c r="F197" s="210" t="s">
        <v>430</v>
      </c>
      <c r="G197" s="211" t="s">
        <v>1008</v>
      </c>
      <c r="H197" s="212" t="s">
        <v>1016</v>
      </c>
      <c r="I197" s="210" t="s">
        <v>410</v>
      </c>
      <c r="J197" s="210"/>
      <c r="K197" s="210"/>
      <c r="L197" s="213" t="s">
        <v>1009</v>
      </c>
      <c r="M197" s="214" t="s">
        <v>412</v>
      </c>
      <c r="N197" s="214" t="s">
        <v>1010</v>
      </c>
      <c r="O197" s="214" t="s">
        <v>957</v>
      </c>
      <c r="P197" s="215" t="s">
        <v>415</v>
      </c>
      <c r="Q197" s="214" t="s">
        <v>1010</v>
      </c>
      <c r="R197" s="216">
        <v>1</v>
      </c>
      <c r="S197" s="216" t="s">
        <v>34</v>
      </c>
      <c r="T197" s="217" t="s">
        <v>469</v>
      </c>
      <c r="U197" s="217" t="s">
        <v>470</v>
      </c>
      <c r="V197" s="214"/>
      <c r="W197" s="222"/>
      <c r="X197" s="217"/>
      <c r="Y197" s="217"/>
      <c r="Z197" s="218"/>
      <c r="AA197" s="219"/>
      <c r="AB197" s="220"/>
      <c r="AC197" s="214"/>
      <c r="AD197" s="214"/>
      <c r="AE197" s="221"/>
      <c r="AF197" s="218" t="s">
        <v>1007</v>
      </c>
      <c r="AG197" s="218">
        <v>1</v>
      </c>
      <c r="AI197" s="66"/>
    </row>
    <row r="198" spans="1:35" x14ac:dyDescent="0.25">
      <c r="A198" s="209">
        <v>196</v>
      </c>
      <c r="B198" s="209" t="s">
        <v>407</v>
      </c>
      <c r="C198" s="210" t="s">
        <v>407</v>
      </c>
      <c r="D198" s="209">
        <v>1</v>
      </c>
      <c r="E198" s="209">
        <v>1</v>
      </c>
      <c r="F198" s="210" t="s">
        <v>430</v>
      </c>
      <c r="G198" s="211" t="s">
        <v>1017</v>
      </c>
      <c r="H198" s="212" t="s">
        <v>1018</v>
      </c>
      <c r="I198" s="210" t="s">
        <v>410</v>
      </c>
      <c r="J198" s="210"/>
      <c r="K198" s="210" t="s">
        <v>1005</v>
      </c>
      <c r="L198" s="213" t="s">
        <v>1006</v>
      </c>
      <c r="M198" s="214" t="s">
        <v>412</v>
      </c>
      <c r="N198" s="214" t="s">
        <v>1007</v>
      </c>
      <c r="O198" s="214" t="s">
        <v>957</v>
      </c>
      <c r="P198" s="215" t="s">
        <v>415</v>
      </c>
      <c r="Q198" s="214" t="s">
        <v>1007</v>
      </c>
      <c r="R198" s="216">
        <v>1</v>
      </c>
      <c r="S198" s="216" t="s">
        <v>34</v>
      </c>
      <c r="T198" s="217" t="s">
        <v>410</v>
      </c>
      <c r="U198" s="217"/>
      <c r="V198" s="214"/>
      <c r="W198" s="222"/>
      <c r="X198" s="214"/>
      <c r="Y198" s="217"/>
      <c r="Z198" s="218"/>
      <c r="AA198" s="219"/>
      <c r="AB198" s="220"/>
      <c r="AC198" s="214"/>
      <c r="AD198" s="214"/>
      <c r="AE198" s="221"/>
      <c r="AF198" s="218" t="s">
        <v>861</v>
      </c>
      <c r="AG198" s="218">
        <v>1</v>
      </c>
      <c r="AI198" s="66"/>
    </row>
    <row r="199" spans="1:35" x14ac:dyDescent="0.25">
      <c r="A199" s="209">
        <v>197</v>
      </c>
      <c r="B199" s="209" t="s">
        <v>407</v>
      </c>
      <c r="C199" s="210" t="s">
        <v>407</v>
      </c>
      <c r="D199" s="209">
        <v>1</v>
      </c>
      <c r="E199" s="209">
        <v>1</v>
      </c>
      <c r="F199" s="210" t="s">
        <v>430</v>
      </c>
      <c r="G199" s="211" t="s">
        <v>1008</v>
      </c>
      <c r="H199" s="212" t="s">
        <v>1018</v>
      </c>
      <c r="I199" s="210" t="s">
        <v>410</v>
      </c>
      <c r="J199" s="210"/>
      <c r="K199" s="210"/>
      <c r="L199" s="213" t="s">
        <v>1009</v>
      </c>
      <c r="M199" s="214" t="s">
        <v>546</v>
      </c>
      <c r="N199" s="214" t="s">
        <v>1010</v>
      </c>
      <c r="O199" s="214" t="s">
        <v>957</v>
      </c>
      <c r="P199" s="215" t="s">
        <v>415</v>
      </c>
      <c r="Q199" s="214" t="s">
        <v>1010</v>
      </c>
      <c r="R199" s="216">
        <v>1</v>
      </c>
      <c r="S199" s="216" t="s">
        <v>34</v>
      </c>
      <c r="T199" s="217" t="s">
        <v>469</v>
      </c>
      <c r="U199" s="217" t="s">
        <v>470</v>
      </c>
      <c r="V199" s="214"/>
      <c r="W199" s="222"/>
      <c r="X199" s="217"/>
      <c r="Y199" s="217"/>
      <c r="Z199" s="218"/>
      <c r="AA199" s="219"/>
      <c r="AB199" s="220"/>
      <c r="AC199" s="214"/>
      <c r="AD199" s="214"/>
      <c r="AE199" s="221"/>
      <c r="AF199" s="218" t="s">
        <v>1007</v>
      </c>
      <c r="AG199" s="218">
        <v>1</v>
      </c>
      <c r="AI199" s="66"/>
    </row>
    <row r="200" spans="1:35" x14ac:dyDescent="0.25">
      <c r="A200" s="209">
        <v>198</v>
      </c>
      <c r="B200" s="209" t="s">
        <v>407</v>
      </c>
      <c r="C200" s="210" t="s">
        <v>407</v>
      </c>
      <c r="D200" s="209">
        <v>1</v>
      </c>
      <c r="E200" s="209">
        <v>1</v>
      </c>
      <c r="F200" s="210" t="s">
        <v>430</v>
      </c>
      <c r="G200" s="211" t="s">
        <v>1019</v>
      </c>
      <c r="H200" s="212" t="s">
        <v>1020</v>
      </c>
      <c r="I200" s="209" t="s">
        <v>410</v>
      </c>
      <c r="J200" s="209"/>
      <c r="K200" s="209" t="s">
        <v>1021</v>
      </c>
      <c r="L200" s="224" t="s">
        <v>1022</v>
      </c>
      <c r="M200" s="214" t="s">
        <v>546</v>
      </c>
      <c r="N200" s="214" t="s">
        <v>1023</v>
      </c>
      <c r="O200" s="215" t="s">
        <v>415</v>
      </c>
      <c r="P200" s="215" t="s">
        <v>415</v>
      </c>
      <c r="Q200" s="214" t="s">
        <v>1024</v>
      </c>
      <c r="R200" s="216">
        <v>1</v>
      </c>
      <c r="S200" s="216" t="s">
        <v>34</v>
      </c>
      <c r="T200" s="217" t="s">
        <v>469</v>
      </c>
      <c r="U200" s="217" t="s">
        <v>470</v>
      </c>
      <c r="V200" s="214"/>
      <c r="W200" s="222" t="s">
        <v>421</v>
      </c>
      <c r="X200" s="217"/>
      <c r="Y200" s="217"/>
      <c r="Z200" s="218"/>
      <c r="AA200" s="219"/>
      <c r="AB200" s="220"/>
      <c r="AC200" s="214"/>
      <c r="AD200" s="214"/>
      <c r="AE200" s="221"/>
      <c r="AF200" s="218" t="s">
        <v>861</v>
      </c>
      <c r="AG200" s="218">
        <v>1</v>
      </c>
      <c r="AI200" s="66"/>
    </row>
    <row r="201" spans="1:35" x14ac:dyDescent="0.2">
      <c r="A201" s="209">
        <v>199</v>
      </c>
      <c r="B201" s="209" t="s">
        <v>407</v>
      </c>
      <c r="C201" s="210" t="s">
        <v>407</v>
      </c>
      <c r="D201" s="209">
        <v>1</v>
      </c>
      <c r="E201" s="209">
        <v>1</v>
      </c>
      <c r="F201" s="210" t="s">
        <v>430</v>
      </c>
      <c r="G201" s="211" t="s">
        <v>1019</v>
      </c>
      <c r="H201" s="212" t="s">
        <v>1025</v>
      </c>
      <c r="I201" s="210" t="s">
        <v>410</v>
      </c>
      <c r="J201" s="210"/>
      <c r="K201" s="210"/>
      <c r="L201" s="225" t="s">
        <v>1026</v>
      </c>
      <c r="M201" s="214" t="s">
        <v>412</v>
      </c>
      <c r="N201" s="214" t="s">
        <v>1027</v>
      </c>
      <c r="O201" s="214" t="s">
        <v>978</v>
      </c>
      <c r="P201" s="215" t="s">
        <v>415</v>
      </c>
      <c r="Q201" s="214" t="s">
        <v>1027</v>
      </c>
      <c r="R201" s="216">
        <v>1</v>
      </c>
      <c r="S201" s="216" t="s">
        <v>34</v>
      </c>
      <c r="T201" s="217" t="s">
        <v>469</v>
      </c>
      <c r="U201" s="217" t="s">
        <v>470</v>
      </c>
      <c r="V201" s="214"/>
      <c r="W201" s="222"/>
      <c r="X201" s="217"/>
      <c r="Y201" s="217"/>
      <c r="Z201" s="218"/>
      <c r="AA201" s="219"/>
      <c r="AB201" s="220"/>
      <c r="AC201" s="214"/>
      <c r="AD201" s="214"/>
      <c r="AE201" s="221"/>
      <c r="AF201" s="218" t="s">
        <v>1024</v>
      </c>
      <c r="AG201" s="218">
        <v>1</v>
      </c>
      <c r="AI201" s="66"/>
    </row>
    <row r="202" spans="1:35" x14ac:dyDescent="0.2">
      <c r="A202" s="209">
        <v>200</v>
      </c>
      <c r="B202" s="209" t="s">
        <v>407</v>
      </c>
      <c r="C202" s="210" t="s">
        <v>407</v>
      </c>
      <c r="D202" s="209">
        <v>1</v>
      </c>
      <c r="E202" s="209">
        <v>1</v>
      </c>
      <c r="F202" s="210" t="s">
        <v>430</v>
      </c>
      <c r="G202" s="211" t="s">
        <v>1028</v>
      </c>
      <c r="H202" s="212" t="s">
        <v>1029</v>
      </c>
      <c r="I202" s="210" t="s">
        <v>410</v>
      </c>
      <c r="J202" s="210"/>
      <c r="K202" s="210" t="s">
        <v>1030</v>
      </c>
      <c r="L202" s="225" t="s">
        <v>1031</v>
      </c>
      <c r="M202" s="214" t="s">
        <v>546</v>
      </c>
      <c r="N202" s="214" t="s">
        <v>1032</v>
      </c>
      <c r="O202" s="215" t="s">
        <v>415</v>
      </c>
      <c r="P202" s="215" t="s">
        <v>415</v>
      </c>
      <c r="Q202" s="214" t="s">
        <v>1033</v>
      </c>
      <c r="R202" s="216">
        <v>1</v>
      </c>
      <c r="S202" s="216" t="s">
        <v>34</v>
      </c>
      <c r="T202" s="217" t="s">
        <v>469</v>
      </c>
      <c r="U202" s="217" t="s">
        <v>470</v>
      </c>
      <c r="V202" s="214"/>
      <c r="W202" s="222" t="s">
        <v>421</v>
      </c>
      <c r="X202" s="217"/>
      <c r="Y202" s="217"/>
      <c r="Z202" s="218"/>
      <c r="AA202" s="219"/>
      <c r="AB202" s="220"/>
      <c r="AC202" s="214"/>
      <c r="AD202" s="214"/>
      <c r="AE202" s="221"/>
      <c r="AF202" s="218" t="s">
        <v>861</v>
      </c>
      <c r="AG202" s="218">
        <v>1</v>
      </c>
      <c r="AI202" s="66"/>
    </row>
    <row r="203" spans="1:35" s="45" customFormat="1" x14ac:dyDescent="0.25">
      <c r="A203" s="29">
        <v>201</v>
      </c>
      <c r="B203" s="29" t="s">
        <v>407</v>
      </c>
      <c r="C203" s="30" t="s">
        <v>407</v>
      </c>
      <c r="D203" s="30">
        <v>0</v>
      </c>
      <c r="E203" s="30">
        <v>0</v>
      </c>
      <c r="F203" s="29"/>
      <c r="G203" s="31" t="s">
        <v>408</v>
      </c>
      <c r="H203" s="32" t="s">
        <v>1034</v>
      </c>
      <c r="I203" s="30" t="s">
        <v>469</v>
      </c>
      <c r="J203" s="30"/>
      <c r="K203" s="30"/>
      <c r="L203" s="101" t="s">
        <v>1035</v>
      </c>
      <c r="M203" s="35"/>
      <c r="N203" s="35">
        <v>11860</v>
      </c>
      <c r="O203" s="37" t="s">
        <v>415</v>
      </c>
      <c r="P203" s="37" t="s">
        <v>415</v>
      </c>
      <c r="Q203" s="35">
        <v>11860</v>
      </c>
      <c r="R203" s="38">
        <v>0</v>
      </c>
      <c r="S203" s="39" t="s">
        <v>34</v>
      </c>
      <c r="T203" s="40"/>
      <c r="U203" s="40"/>
      <c r="V203" s="35"/>
      <c r="W203" s="40"/>
      <c r="X203" s="40"/>
      <c r="Y203" s="40"/>
      <c r="Z203" s="41"/>
      <c r="AA203" s="226"/>
      <c r="AB203" s="43"/>
      <c r="AC203" s="35"/>
      <c r="AD203" s="35"/>
      <c r="AE203" s="44"/>
      <c r="AF203" s="41"/>
      <c r="AG203" s="41">
        <v>0</v>
      </c>
    </row>
    <row r="204" spans="1:35" s="45" customFormat="1" ht="24" x14ac:dyDescent="0.25">
      <c r="A204" s="29">
        <v>202</v>
      </c>
      <c r="B204" s="29" t="s">
        <v>407</v>
      </c>
      <c r="C204" s="30" t="s">
        <v>407</v>
      </c>
      <c r="D204" s="30">
        <v>0</v>
      </c>
      <c r="E204" s="30">
        <v>0</v>
      </c>
      <c r="F204" s="29"/>
      <c r="G204" s="31" t="s">
        <v>408</v>
      </c>
      <c r="H204" s="32" t="s">
        <v>1034</v>
      </c>
      <c r="I204" s="30" t="s">
        <v>410</v>
      </c>
      <c r="J204" s="30"/>
      <c r="K204" s="30"/>
      <c r="L204" s="31" t="s">
        <v>1036</v>
      </c>
      <c r="M204" s="35" t="s">
        <v>412</v>
      </c>
      <c r="N204" s="35" t="s">
        <v>1037</v>
      </c>
      <c r="O204" s="37" t="s">
        <v>415</v>
      </c>
      <c r="P204" s="37" t="s">
        <v>415</v>
      </c>
      <c r="Q204" s="35" t="s">
        <v>1037</v>
      </c>
      <c r="R204" s="38">
        <v>0</v>
      </c>
      <c r="S204" s="39" t="s">
        <v>34</v>
      </c>
      <c r="T204" s="40"/>
      <c r="U204" s="40"/>
      <c r="V204" s="35"/>
      <c r="W204" s="48"/>
      <c r="X204" s="40"/>
      <c r="Y204" s="40"/>
      <c r="Z204" s="41"/>
      <c r="AA204" s="42"/>
      <c r="AB204" s="43"/>
      <c r="AC204" s="35"/>
      <c r="AD204" s="35"/>
      <c r="AE204" s="44"/>
      <c r="AF204" s="41" t="s">
        <v>445</v>
      </c>
      <c r="AG204" s="41">
        <v>0</v>
      </c>
      <c r="AI204" s="46"/>
    </row>
    <row r="205" spans="1:35" s="45" customFormat="1" ht="24" x14ac:dyDescent="0.25">
      <c r="A205" s="29">
        <v>203</v>
      </c>
      <c r="B205" s="29" t="s">
        <v>407</v>
      </c>
      <c r="C205" s="30" t="s">
        <v>407</v>
      </c>
      <c r="D205" s="30">
        <v>0</v>
      </c>
      <c r="E205" s="30">
        <v>0</v>
      </c>
      <c r="F205" s="29"/>
      <c r="G205" s="31" t="s">
        <v>408</v>
      </c>
      <c r="H205" s="32" t="s">
        <v>1034</v>
      </c>
      <c r="I205" s="30" t="s">
        <v>410</v>
      </c>
      <c r="J205" s="30"/>
      <c r="K205" s="30"/>
      <c r="L205" s="31" t="s">
        <v>1038</v>
      </c>
      <c r="M205" s="227" t="s">
        <v>546</v>
      </c>
      <c r="N205" s="35" t="s">
        <v>1039</v>
      </c>
      <c r="O205" s="37" t="s">
        <v>415</v>
      </c>
      <c r="P205" s="37" t="s">
        <v>415</v>
      </c>
      <c r="Q205" s="35" t="s">
        <v>1039</v>
      </c>
      <c r="R205" s="38">
        <v>0</v>
      </c>
      <c r="S205" s="39" t="s">
        <v>34</v>
      </c>
      <c r="T205" s="40"/>
      <c r="U205" s="40"/>
      <c r="V205" s="35"/>
      <c r="W205" s="48"/>
      <c r="X205" s="40"/>
      <c r="Y205" s="40"/>
      <c r="Z205" s="41"/>
      <c r="AA205" s="42"/>
      <c r="AB205" s="43"/>
      <c r="AC205" s="35"/>
      <c r="AD205" s="35"/>
      <c r="AE205" s="44"/>
      <c r="AF205" s="41" t="s">
        <v>445</v>
      </c>
      <c r="AG205" s="41">
        <v>0</v>
      </c>
      <c r="AI205" s="46"/>
    </row>
    <row r="206" spans="1:35" s="45" customFormat="1" ht="24" x14ac:dyDescent="0.25">
      <c r="A206" s="29">
        <v>204</v>
      </c>
      <c r="B206" s="29" t="s">
        <v>407</v>
      </c>
      <c r="C206" s="30" t="s">
        <v>407</v>
      </c>
      <c r="D206" s="30">
        <v>0</v>
      </c>
      <c r="E206" s="30">
        <v>0</v>
      </c>
      <c r="F206" s="29"/>
      <c r="G206" s="31" t="s">
        <v>408</v>
      </c>
      <c r="H206" s="32" t="s">
        <v>1034</v>
      </c>
      <c r="I206" s="30" t="s">
        <v>469</v>
      </c>
      <c r="J206" s="30"/>
      <c r="K206" s="30"/>
      <c r="L206" s="101" t="s">
        <v>1040</v>
      </c>
      <c r="M206" s="35"/>
      <c r="N206" s="35" t="s">
        <v>1041</v>
      </c>
      <c r="O206" s="37" t="s">
        <v>415</v>
      </c>
      <c r="P206" s="37" t="s">
        <v>415</v>
      </c>
      <c r="Q206" s="35" t="s">
        <v>1041</v>
      </c>
      <c r="R206" s="38">
        <v>0</v>
      </c>
      <c r="S206" s="39" t="s">
        <v>34</v>
      </c>
      <c r="T206" s="40"/>
      <c r="U206" s="40"/>
      <c r="V206" s="35"/>
      <c r="W206" s="40"/>
      <c r="X206" s="40"/>
      <c r="Y206" s="40"/>
      <c r="Z206" s="41"/>
      <c r="AA206" s="226"/>
      <c r="AB206" s="43"/>
      <c r="AC206" s="35"/>
      <c r="AD206" s="35"/>
      <c r="AE206" s="44"/>
      <c r="AF206" s="41" t="s">
        <v>445</v>
      </c>
      <c r="AG206" s="41">
        <v>0</v>
      </c>
      <c r="AI206" s="46"/>
    </row>
    <row r="207" spans="1:35" s="45" customFormat="1" ht="36" x14ac:dyDescent="0.25">
      <c r="A207" s="29">
        <v>205</v>
      </c>
      <c r="B207" s="29" t="s">
        <v>407</v>
      </c>
      <c r="C207" s="30" t="s">
        <v>407</v>
      </c>
      <c r="D207" s="30">
        <v>0</v>
      </c>
      <c r="E207" s="30">
        <v>0</v>
      </c>
      <c r="F207" s="29"/>
      <c r="G207" s="31" t="s">
        <v>408</v>
      </c>
      <c r="H207" s="32" t="s">
        <v>1034</v>
      </c>
      <c r="I207" s="30" t="s">
        <v>469</v>
      </c>
      <c r="J207" s="30"/>
      <c r="K207" s="30"/>
      <c r="L207" s="101" t="s">
        <v>1042</v>
      </c>
      <c r="M207" s="35" t="s">
        <v>412</v>
      </c>
      <c r="N207" s="35"/>
      <c r="O207" s="37"/>
      <c r="P207" s="37" t="s">
        <v>415</v>
      </c>
      <c r="Q207" s="35" t="s">
        <v>1043</v>
      </c>
      <c r="R207" s="38">
        <v>0</v>
      </c>
      <c r="S207" s="39" t="s">
        <v>34</v>
      </c>
      <c r="T207" s="40"/>
      <c r="U207" s="40"/>
      <c r="V207" s="35"/>
      <c r="W207" s="40"/>
      <c r="X207" s="40"/>
      <c r="Y207" s="40"/>
      <c r="Z207" s="41"/>
      <c r="AA207" s="226"/>
      <c r="AB207" s="43"/>
      <c r="AC207" s="35"/>
      <c r="AD207" s="35"/>
      <c r="AE207" s="44"/>
      <c r="AF207" s="41" t="s">
        <v>445</v>
      </c>
      <c r="AG207" s="41">
        <v>0</v>
      </c>
      <c r="AI207" s="46"/>
    </row>
    <row r="208" spans="1:35" s="45" customFormat="1" ht="24" x14ac:dyDescent="0.25">
      <c r="A208" s="29">
        <v>206</v>
      </c>
      <c r="B208" s="29" t="s">
        <v>407</v>
      </c>
      <c r="C208" s="30" t="s">
        <v>407</v>
      </c>
      <c r="D208" s="30">
        <v>0</v>
      </c>
      <c r="E208" s="30">
        <v>0</v>
      </c>
      <c r="F208" s="29"/>
      <c r="G208" s="31" t="s">
        <v>408</v>
      </c>
      <c r="H208" s="32" t="s">
        <v>1034</v>
      </c>
      <c r="I208" s="30" t="s">
        <v>469</v>
      </c>
      <c r="J208" s="30"/>
      <c r="K208" s="30"/>
      <c r="L208" s="101" t="s">
        <v>1044</v>
      </c>
      <c r="M208" s="35"/>
      <c r="N208" s="35" t="s">
        <v>1045</v>
      </c>
      <c r="O208" s="37" t="s">
        <v>415</v>
      </c>
      <c r="P208" s="37" t="s">
        <v>415</v>
      </c>
      <c r="Q208" s="35" t="s">
        <v>1045</v>
      </c>
      <c r="R208" s="38">
        <v>0</v>
      </c>
      <c r="S208" s="39" t="s">
        <v>34</v>
      </c>
      <c r="T208" s="40"/>
      <c r="U208" s="40"/>
      <c r="V208" s="35"/>
      <c r="W208" s="40"/>
      <c r="X208" s="40"/>
      <c r="Y208" s="40"/>
      <c r="Z208" s="41"/>
      <c r="AA208" s="226"/>
      <c r="AB208" s="43"/>
      <c r="AC208" s="35"/>
      <c r="AD208" s="35"/>
      <c r="AE208" s="44"/>
      <c r="AF208" s="41" t="s">
        <v>445</v>
      </c>
      <c r="AG208" s="41">
        <v>0</v>
      </c>
      <c r="AI208" s="46"/>
    </row>
    <row r="209" spans="1:35" s="45" customFormat="1" ht="24" x14ac:dyDescent="0.25">
      <c r="A209" s="29">
        <v>207</v>
      </c>
      <c r="B209" s="29" t="s">
        <v>407</v>
      </c>
      <c r="C209" s="30" t="s">
        <v>407</v>
      </c>
      <c r="D209" s="30">
        <v>0</v>
      </c>
      <c r="E209" s="30">
        <v>0</v>
      </c>
      <c r="F209" s="29"/>
      <c r="G209" s="31" t="s">
        <v>408</v>
      </c>
      <c r="H209" s="32" t="s">
        <v>1034</v>
      </c>
      <c r="I209" s="30" t="s">
        <v>469</v>
      </c>
      <c r="J209" s="30"/>
      <c r="K209" s="30"/>
      <c r="L209" s="101" t="s">
        <v>1046</v>
      </c>
      <c r="M209" s="35"/>
      <c r="N209" s="35" t="s">
        <v>1047</v>
      </c>
      <c r="O209" s="37"/>
      <c r="P209" s="37" t="s">
        <v>415</v>
      </c>
      <c r="Q209" s="35" t="s">
        <v>1047</v>
      </c>
      <c r="R209" s="38">
        <v>0</v>
      </c>
      <c r="S209" s="39" t="s">
        <v>34</v>
      </c>
      <c r="T209" s="40"/>
      <c r="U209" s="40"/>
      <c r="V209" s="35"/>
      <c r="W209" s="40"/>
      <c r="X209" s="40"/>
      <c r="Y209" s="40"/>
      <c r="Z209" s="41"/>
      <c r="AA209" s="226"/>
      <c r="AB209" s="43"/>
      <c r="AC209" s="35"/>
      <c r="AD209" s="35"/>
      <c r="AE209" s="44"/>
      <c r="AF209" s="41" t="s">
        <v>445</v>
      </c>
      <c r="AG209" s="41">
        <v>0</v>
      </c>
      <c r="AI209" s="46"/>
    </row>
    <row r="210" spans="1:35" s="45" customFormat="1" ht="24" x14ac:dyDescent="0.25">
      <c r="A210" s="29">
        <v>208</v>
      </c>
      <c r="B210" s="29" t="s">
        <v>407</v>
      </c>
      <c r="C210" s="30" t="s">
        <v>407</v>
      </c>
      <c r="D210" s="30">
        <v>0</v>
      </c>
      <c r="E210" s="30">
        <v>0</v>
      </c>
      <c r="F210" s="29"/>
      <c r="G210" s="31" t="s">
        <v>408</v>
      </c>
      <c r="H210" s="32" t="s">
        <v>1034</v>
      </c>
      <c r="I210" s="30" t="s">
        <v>469</v>
      </c>
      <c r="J210" s="30"/>
      <c r="K210" s="30"/>
      <c r="L210" s="101" t="s">
        <v>1048</v>
      </c>
      <c r="M210" s="35"/>
      <c r="N210" s="35">
        <v>5001009873</v>
      </c>
      <c r="O210" s="37"/>
      <c r="P210" s="37" t="s">
        <v>415</v>
      </c>
      <c r="Q210" s="35">
        <v>5001009873</v>
      </c>
      <c r="R210" s="38">
        <v>0</v>
      </c>
      <c r="S210" s="39" t="s">
        <v>34</v>
      </c>
      <c r="T210" s="40"/>
      <c r="U210" s="40"/>
      <c r="V210" s="35"/>
      <c r="W210" s="40"/>
      <c r="X210" s="40"/>
      <c r="Y210" s="40"/>
      <c r="Z210" s="41"/>
      <c r="AA210" s="226"/>
      <c r="AB210" s="43"/>
      <c r="AC210" s="35"/>
      <c r="AD210" s="35"/>
      <c r="AE210" s="44"/>
      <c r="AF210" s="41" t="s">
        <v>445</v>
      </c>
      <c r="AG210" s="41">
        <v>0</v>
      </c>
      <c r="AI210" s="46"/>
    </row>
    <row r="211" spans="1:35" s="45" customFormat="1" ht="24" x14ac:dyDescent="0.25">
      <c r="A211" s="29">
        <v>209</v>
      </c>
      <c r="B211" s="29" t="s">
        <v>407</v>
      </c>
      <c r="C211" s="30" t="s">
        <v>407</v>
      </c>
      <c r="D211" s="30">
        <v>0</v>
      </c>
      <c r="E211" s="30">
        <v>0</v>
      </c>
      <c r="F211" s="29"/>
      <c r="G211" s="31" t="s">
        <v>408</v>
      </c>
      <c r="H211" s="32" t="s">
        <v>1034</v>
      </c>
      <c r="I211" s="30" t="s">
        <v>469</v>
      </c>
      <c r="J211" s="30"/>
      <c r="K211" s="30"/>
      <c r="L211" s="101" t="s">
        <v>1049</v>
      </c>
      <c r="M211" s="35"/>
      <c r="N211" s="35">
        <v>5001009874</v>
      </c>
      <c r="O211" s="37"/>
      <c r="P211" s="37" t="s">
        <v>415</v>
      </c>
      <c r="Q211" s="35">
        <v>5001009874</v>
      </c>
      <c r="R211" s="38">
        <v>0</v>
      </c>
      <c r="S211" s="39" t="s">
        <v>34</v>
      </c>
      <c r="T211" s="40"/>
      <c r="U211" s="40"/>
      <c r="V211" s="35"/>
      <c r="W211" s="40"/>
      <c r="X211" s="40"/>
      <c r="Y211" s="40"/>
      <c r="Z211" s="41"/>
      <c r="AA211" s="226"/>
      <c r="AB211" s="43"/>
      <c r="AC211" s="35"/>
      <c r="AD211" s="35"/>
      <c r="AE211" s="44"/>
      <c r="AF211" s="41" t="s">
        <v>445</v>
      </c>
      <c r="AG211" s="41">
        <v>0</v>
      </c>
      <c r="AI211" s="46"/>
    </row>
    <row r="212" spans="1:35" s="45" customFormat="1" ht="24" x14ac:dyDescent="0.25">
      <c r="A212" s="29">
        <v>210</v>
      </c>
      <c r="B212" s="29" t="s">
        <v>407</v>
      </c>
      <c r="C212" s="30" t="s">
        <v>407</v>
      </c>
      <c r="D212" s="30">
        <v>0</v>
      </c>
      <c r="E212" s="30">
        <v>0</v>
      </c>
      <c r="F212" s="29"/>
      <c r="G212" s="31" t="s">
        <v>408</v>
      </c>
      <c r="H212" s="32" t="s">
        <v>1034</v>
      </c>
      <c r="I212" s="30" t="s">
        <v>469</v>
      </c>
      <c r="J212" s="30"/>
      <c r="K212" s="30"/>
      <c r="L212" s="101" t="s">
        <v>1050</v>
      </c>
      <c r="M212" s="35"/>
      <c r="N212" s="35">
        <v>7420779092</v>
      </c>
      <c r="O212" s="37"/>
      <c r="P212" s="37" t="s">
        <v>415</v>
      </c>
      <c r="Q212" s="35">
        <v>7420779092</v>
      </c>
      <c r="R212" s="38">
        <v>0</v>
      </c>
      <c r="S212" s="39" t="s">
        <v>34</v>
      </c>
      <c r="T212" s="40"/>
      <c r="U212" s="40"/>
      <c r="V212" s="35"/>
      <c r="W212" s="40"/>
      <c r="X212" s="40"/>
      <c r="Y212" s="40"/>
      <c r="Z212" s="41"/>
      <c r="AA212" s="226"/>
      <c r="AB212" s="43"/>
      <c r="AC212" s="35"/>
      <c r="AD212" s="35"/>
      <c r="AE212" s="44"/>
      <c r="AF212" s="41" t="s">
        <v>445</v>
      </c>
      <c r="AG212" s="41">
        <v>0</v>
      </c>
      <c r="AI212" s="46"/>
    </row>
    <row r="213" spans="1:35" s="45" customFormat="1" ht="24" x14ac:dyDescent="0.25">
      <c r="A213" s="29">
        <v>211</v>
      </c>
      <c r="B213" s="29" t="s">
        <v>407</v>
      </c>
      <c r="C213" s="30" t="s">
        <v>407</v>
      </c>
      <c r="D213" s="30">
        <v>0</v>
      </c>
      <c r="E213" s="30">
        <v>0</v>
      </c>
      <c r="F213" s="29"/>
      <c r="G213" s="31" t="s">
        <v>408</v>
      </c>
      <c r="H213" s="32" t="s">
        <v>1034</v>
      </c>
      <c r="I213" s="30" t="s">
        <v>469</v>
      </c>
      <c r="J213" s="30"/>
      <c r="K213" s="30"/>
      <c r="L213" s="101" t="s">
        <v>1051</v>
      </c>
      <c r="M213" s="35"/>
      <c r="N213" s="35">
        <v>7420856783</v>
      </c>
      <c r="O213" s="37"/>
      <c r="P213" s="37" t="s">
        <v>415</v>
      </c>
      <c r="Q213" s="35">
        <v>7420856783</v>
      </c>
      <c r="R213" s="38">
        <v>0</v>
      </c>
      <c r="S213" s="39" t="s">
        <v>34</v>
      </c>
      <c r="T213" s="40"/>
      <c r="U213" s="40"/>
      <c r="V213" s="35"/>
      <c r="W213" s="40"/>
      <c r="X213" s="40"/>
      <c r="Y213" s="40"/>
      <c r="Z213" s="41"/>
      <c r="AA213" s="226"/>
      <c r="AB213" s="43"/>
      <c r="AC213" s="35"/>
      <c r="AD213" s="35"/>
      <c r="AE213" s="44"/>
      <c r="AF213" s="41" t="s">
        <v>445</v>
      </c>
      <c r="AG213" s="41">
        <v>0</v>
      </c>
      <c r="AI213" s="46"/>
    </row>
    <row r="214" spans="1:35" s="45" customFormat="1" ht="24" x14ac:dyDescent="0.25">
      <c r="A214" s="29">
        <v>212</v>
      </c>
      <c r="B214" s="29" t="s">
        <v>407</v>
      </c>
      <c r="C214" s="30" t="s">
        <v>407</v>
      </c>
      <c r="D214" s="30">
        <v>0</v>
      </c>
      <c r="E214" s="30">
        <v>0</v>
      </c>
      <c r="F214" s="29"/>
      <c r="G214" s="31" t="s">
        <v>408</v>
      </c>
      <c r="H214" s="32" t="s">
        <v>1034</v>
      </c>
      <c r="I214" s="30" t="s">
        <v>469</v>
      </c>
      <c r="J214" s="30"/>
      <c r="K214" s="30"/>
      <c r="L214" s="101" t="s">
        <v>1052</v>
      </c>
      <c r="M214" s="35"/>
      <c r="N214" s="35">
        <v>7420839235</v>
      </c>
      <c r="O214" s="37"/>
      <c r="P214" s="37" t="s">
        <v>415</v>
      </c>
      <c r="Q214" s="35">
        <v>7420839235</v>
      </c>
      <c r="R214" s="38">
        <v>0</v>
      </c>
      <c r="S214" s="39" t="s">
        <v>34</v>
      </c>
      <c r="T214" s="40"/>
      <c r="U214" s="40"/>
      <c r="V214" s="35"/>
      <c r="W214" s="40"/>
      <c r="X214" s="40"/>
      <c r="Y214" s="40"/>
      <c r="Z214" s="41"/>
      <c r="AA214" s="226"/>
      <c r="AB214" s="43"/>
      <c r="AC214" s="35"/>
      <c r="AD214" s="35"/>
      <c r="AE214" s="44"/>
      <c r="AF214" s="41" t="s">
        <v>445</v>
      </c>
      <c r="AG214" s="41">
        <v>0</v>
      </c>
      <c r="AI214" s="46"/>
    </row>
    <row r="215" spans="1:35" s="45" customFormat="1" ht="24" x14ac:dyDescent="0.25">
      <c r="A215" s="29">
        <v>213</v>
      </c>
      <c r="B215" s="29" t="s">
        <v>407</v>
      </c>
      <c r="C215" s="30" t="s">
        <v>407</v>
      </c>
      <c r="D215" s="30">
        <v>0</v>
      </c>
      <c r="E215" s="30">
        <v>0</v>
      </c>
      <c r="F215" s="29"/>
      <c r="G215" s="31" t="s">
        <v>408</v>
      </c>
      <c r="H215" s="32" t="s">
        <v>1034</v>
      </c>
      <c r="I215" s="30" t="s">
        <v>469</v>
      </c>
      <c r="J215" s="30"/>
      <c r="K215" s="30"/>
      <c r="L215" s="101" t="s">
        <v>1053</v>
      </c>
      <c r="M215" s="35"/>
      <c r="N215" s="35">
        <v>5001866628</v>
      </c>
      <c r="O215" s="37"/>
      <c r="P215" s="37" t="s">
        <v>415</v>
      </c>
      <c r="Q215" s="35">
        <v>5001866628</v>
      </c>
      <c r="R215" s="38">
        <v>0</v>
      </c>
      <c r="S215" s="39" t="s">
        <v>34</v>
      </c>
      <c r="T215" s="40"/>
      <c r="U215" s="40"/>
      <c r="V215" s="35"/>
      <c r="W215" s="40"/>
      <c r="X215" s="40"/>
      <c r="Y215" s="40"/>
      <c r="Z215" s="41"/>
      <c r="AA215" s="226"/>
      <c r="AB215" s="43"/>
      <c r="AC215" s="35"/>
      <c r="AD215" s="35"/>
      <c r="AE215" s="44"/>
      <c r="AF215" s="41" t="s">
        <v>445</v>
      </c>
      <c r="AG215" s="41">
        <v>0</v>
      </c>
      <c r="AI215" s="46"/>
    </row>
    <row r="216" spans="1:35" s="45" customFormat="1" ht="24" x14ac:dyDescent="0.25">
      <c r="A216" s="29">
        <v>214</v>
      </c>
      <c r="B216" s="29" t="s">
        <v>407</v>
      </c>
      <c r="C216" s="30" t="s">
        <v>407</v>
      </c>
      <c r="D216" s="30">
        <v>0</v>
      </c>
      <c r="E216" s="30">
        <v>0</v>
      </c>
      <c r="F216" s="29"/>
      <c r="G216" s="31" t="s">
        <v>408</v>
      </c>
      <c r="H216" s="32" t="s">
        <v>1034</v>
      </c>
      <c r="I216" s="30" t="s">
        <v>469</v>
      </c>
      <c r="J216" s="30"/>
      <c r="K216" s="30"/>
      <c r="L216" s="101" t="s">
        <v>1054</v>
      </c>
      <c r="M216" s="35"/>
      <c r="N216" s="35">
        <v>5000991948</v>
      </c>
      <c r="O216" s="37"/>
      <c r="P216" s="37" t="s">
        <v>415</v>
      </c>
      <c r="Q216" s="35">
        <v>5000991948</v>
      </c>
      <c r="R216" s="38">
        <v>0</v>
      </c>
      <c r="S216" s="39" t="s">
        <v>34</v>
      </c>
      <c r="T216" s="40"/>
      <c r="U216" s="40"/>
      <c r="V216" s="35"/>
      <c r="W216" s="40"/>
      <c r="X216" s="40"/>
      <c r="Y216" s="40"/>
      <c r="Z216" s="41"/>
      <c r="AA216" s="226"/>
      <c r="AB216" s="43"/>
      <c r="AC216" s="35"/>
      <c r="AD216" s="35"/>
      <c r="AE216" s="44"/>
      <c r="AF216" s="41" t="s">
        <v>445</v>
      </c>
      <c r="AG216" s="41">
        <v>0</v>
      </c>
      <c r="AI216" s="46"/>
    </row>
    <row r="217" spans="1:35" s="45" customFormat="1" ht="24" x14ac:dyDescent="0.25">
      <c r="A217" s="29">
        <v>215</v>
      </c>
      <c r="B217" s="29" t="s">
        <v>407</v>
      </c>
      <c r="C217" s="30" t="s">
        <v>407</v>
      </c>
      <c r="D217" s="30">
        <v>0</v>
      </c>
      <c r="E217" s="30">
        <v>0</v>
      </c>
      <c r="F217" s="29"/>
      <c r="G217" s="31" t="s">
        <v>408</v>
      </c>
      <c r="H217" s="32" t="s">
        <v>1034</v>
      </c>
      <c r="I217" s="30" t="s">
        <v>469</v>
      </c>
      <c r="J217" s="30"/>
      <c r="K217" s="30"/>
      <c r="L217" s="101" t="s">
        <v>1055</v>
      </c>
      <c r="M217" s="35"/>
      <c r="N217" s="35">
        <v>501059674</v>
      </c>
      <c r="O217" s="37"/>
      <c r="P217" s="37" t="s">
        <v>415</v>
      </c>
      <c r="Q217" s="35">
        <v>501059674</v>
      </c>
      <c r="R217" s="38">
        <v>0</v>
      </c>
      <c r="S217" s="39" t="s">
        <v>34</v>
      </c>
      <c r="T217" s="40"/>
      <c r="U217" s="40"/>
      <c r="V217" s="35"/>
      <c r="W217" s="40"/>
      <c r="X217" s="40"/>
      <c r="Y217" s="40"/>
      <c r="Z217" s="41"/>
      <c r="AA217" s="226"/>
      <c r="AB217" s="43"/>
      <c r="AC217" s="35"/>
      <c r="AD217" s="35"/>
      <c r="AE217" s="44"/>
      <c r="AF217" s="41" t="s">
        <v>445</v>
      </c>
      <c r="AG217" s="41">
        <v>0</v>
      </c>
      <c r="AI217" s="46"/>
    </row>
    <row r="218" spans="1:35" s="45" customFormat="1" ht="24" x14ac:dyDescent="0.25">
      <c r="A218" s="29">
        <v>216</v>
      </c>
      <c r="B218" s="29" t="s">
        <v>407</v>
      </c>
      <c r="C218" s="30" t="s">
        <v>407</v>
      </c>
      <c r="D218" s="30">
        <v>0</v>
      </c>
      <c r="E218" s="30">
        <v>0</v>
      </c>
      <c r="F218" s="29"/>
      <c r="G218" s="31" t="s">
        <v>408</v>
      </c>
      <c r="H218" s="32" t="s">
        <v>1034</v>
      </c>
      <c r="I218" s="30" t="s">
        <v>469</v>
      </c>
      <c r="J218" s="30"/>
      <c r="K218" s="30"/>
      <c r="L218" s="101" t="s">
        <v>1056</v>
      </c>
      <c r="M218" s="35"/>
      <c r="N218" s="35"/>
      <c r="O218" s="37"/>
      <c r="P218" s="37" t="s">
        <v>415</v>
      </c>
      <c r="Q218" s="35"/>
      <c r="R218" s="38">
        <v>0</v>
      </c>
      <c r="S218" s="39" t="s">
        <v>34</v>
      </c>
      <c r="T218" s="40"/>
      <c r="U218" s="40"/>
      <c r="V218" s="35"/>
      <c r="W218" s="40"/>
      <c r="X218" s="40"/>
      <c r="Y218" s="40"/>
      <c r="Z218" s="41"/>
      <c r="AA218" s="226"/>
      <c r="AB218" s="43"/>
      <c r="AC218" s="35"/>
      <c r="AD218" s="35"/>
      <c r="AE218" s="44"/>
      <c r="AF218" s="41" t="s">
        <v>445</v>
      </c>
      <c r="AG218" s="41">
        <v>0</v>
      </c>
      <c r="AI218" s="46"/>
    </row>
    <row r="219" spans="1:35" s="45" customFormat="1" ht="24" x14ac:dyDescent="0.25">
      <c r="A219" s="29">
        <v>217</v>
      </c>
      <c r="B219" s="29" t="s">
        <v>407</v>
      </c>
      <c r="C219" s="30" t="s">
        <v>407</v>
      </c>
      <c r="D219" s="30">
        <v>0</v>
      </c>
      <c r="E219" s="30">
        <v>0</v>
      </c>
      <c r="F219" s="29"/>
      <c r="G219" s="31" t="s">
        <v>408</v>
      </c>
      <c r="H219" s="32" t="s">
        <v>1034</v>
      </c>
      <c r="I219" s="30" t="s">
        <v>469</v>
      </c>
      <c r="J219" s="30"/>
      <c r="K219" s="30"/>
      <c r="L219" s="101" t="s">
        <v>1057</v>
      </c>
      <c r="M219" s="35"/>
      <c r="N219" s="35">
        <v>5010505383</v>
      </c>
      <c r="O219" s="37"/>
      <c r="P219" s="37" t="s">
        <v>415</v>
      </c>
      <c r="Q219" s="35">
        <v>5010505383</v>
      </c>
      <c r="R219" s="38">
        <v>0</v>
      </c>
      <c r="S219" s="39" t="s">
        <v>34</v>
      </c>
      <c r="T219" s="40"/>
      <c r="U219" s="40"/>
      <c r="V219" s="35"/>
      <c r="W219" s="40"/>
      <c r="X219" s="40"/>
      <c r="Y219" s="40"/>
      <c r="Z219" s="41"/>
      <c r="AA219" s="226"/>
      <c r="AB219" s="43"/>
      <c r="AC219" s="35"/>
      <c r="AD219" s="35"/>
      <c r="AE219" s="44"/>
      <c r="AF219" s="41" t="s">
        <v>445</v>
      </c>
      <c r="AG219" s="41">
        <v>0</v>
      </c>
      <c r="AI219" s="46"/>
    </row>
    <row r="220" spans="1:35" s="45" customFormat="1" ht="24" x14ac:dyDescent="0.25">
      <c r="A220" s="29">
        <v>218</v>
      </c>
      <c r="B220" s="29" t="s">
        <v>407</v>
      </c>
      <c r="C220" s="30" t="s">
        <v>407</v>
      </c>
      <c r="D220" s="30">
        <v>0</v>
      </c>
      <c r="E220" s="30">
        <v>0</v>
      </c>
      <c r="F220" s="29"/>
      <c r="G220" s="31" t="s">
        <v>408</v>
      </c>
      <c r="H220" s="32" t="s">
        <v>1034</v>
      </c>
      <c r="I220" s="30" t="s">
        <v>469</v>
      </c>
      <c r="J220" s="30"/>
      <c r="K220" s="30"/>
      <c r="L220" s="101" t="s">
        <v>1058</v>
      </c>
      <c r="M220" s="35"/>
      <c r="N220" s="35">
        <v>5010505220</v>
      </c>
      <c r="O220" s="37"/>
      <c r="P220" s="37" t="s">
        <v>415</v>
      </c>
      <c r="Q220" s="35">
        <v>5010505220</v>
      </c>
      <c r="R220" s="38">
        <v>0</v>
      </c>
      <c r="S220" s="39" t="s">
        <v>34</v>
      </c>
      <c r="T220" s="40"/>
      <c r="U220" s="40"/>
      <c r="V220" s="35"/>
      <c r="W220" s="40"/>
      <c r="X220" s="40"/>
      <c r="Y220" s="40"/>
      <c r="Z220" s="41"/>
      <c r="AA220" s="226"/>
      <c r="AB220" s="43"/>
      <c r="AC220" s="35"/>
      <c r="AD220" s="35"/>
      <c r="AE220" s="44"/>
      <c r="AF220" s="41" t="s">
        <v>445</v>
      </c>
      <c r="AG220" s="41">
        <v>0</v>
      </c>
      <c r="AI220" s="46"/>
    </row>
    <row r="221" spans="1:35" s="45" customFormat="1" ht="24" x14ac:dyDescent="0.25">
      <c r="A221" s="29">
        <v>219</v>
      </c>
      <c r="B221" s="29" t="s">
        <v>407</v>
      </c>
      <c r="C221" s="30" t="s">
        <v>407</v>
      </c>
      <c r="D221" s="30">
        <v>0</v>
      </c>
      <c r="E221" s="30">
        <v>0</v>
      </c>
      <c r="F221" s="29"/>
      <c r="G221" s="31" t="s">
        <v>408</v>
      </c>
      <c r="H221" s="32" t="s">
        <v>1034</v>
      </c>
      <c r="I221" s="30" t="s">
        <v>469</v>
      </c>
      <c r="J221" s="30"/>
      <c r="K221" s="30"/>
      <c r="L221" s="101" t="s">
        <v>1059</v>
      </c>
      <c r="M221" s="35"/>
      <c r="N221" s="35" t="s">
        <v>1060</v>
      </c>
      <c r="O221" s="37"/>
      <c r="P221" s="37" t="s">
        <v>415</v>
      </c>
      <c r="Q221" s="35" t="s">
        <v>1060</v>
      </c>
      <c r="R221" s="38">
        <v>0</v>
      </c>
      <c r="S221" s="39" t="s">
        <v>34</v>
      </c>
      <c r="T221" s="40"/>
      <c r="U221" s="40"/>
      <c r="V221" s="35"/>
      <c r="W221" s="40"/>
      <c r="X221" s="40"/>
      <c r="Y221" s="40"/>
      <c r="Z221" s="41"/>
      <c r="AA221" s="226"/>
      <c r="AB221" s="43"/>
      <c r="AC221" s="35"/>
      <c r="AD221" s="35"/>
      <c r="AE221" s="44"/>
      <c r="AF221" s="41" t="s">
        <v>445</v>
      </c>
      <c r="AG221" s="41">
        <v>0</v>
      </c>
      <c r="AI221" s="46"/>
    </row>
    <row r="222" spans="1:35" s="45" customFormat="1" ht="24" x14ac:dyDescent="0.25">
      <c r="A222" s="29">
        <v>220</v>
      </c>
      <c r="B222" s="29" t="s">
        <v>407</v>
      </c>
      <c r="C222" s="30" t="s">
        <v>407</v>
      </c>
      <c r="D222" s="30">
        <v>0</v>
      </c>
      <c r="E222" s="30">
        <v>0</v>
      </c>
      <c r="F222" s="29"/>
      <c r="G222" s="31" t="s">
        <v>408</v>
      </c>
      <c r="H222" s="32" t="s">
        <v>1034</v>
      </c>
      <c r="I222" s="30" t="s">
        <v>469</v>
      </c>
      <c r="J222" s="30"/>
      <c r="K222" s="30"/>
      <c r="L222" s="101" t="s">
        <v>1061</v>
      </c>
      <c r="M222" s="35"/>
      <c r="N222" s="35"/>
      <c r="O222" s="37"/>
      <c r="P222" s="37" t="s">
        <v>415</v>
      </c>
      <c r="Q222" s="35"/>
      <c r="R222" s="38">
        <v>0</v>
      </c>
      <c r="S222" s="39" t="s">
        <v>34</v>
      </c>
      <c r="T222" s="40"/>
      <c r="U222" s="40"/>
      <c r="V222" s="35"/>
      <c r="W222" s="40"/>
      <c r="X222" s="40"/>
      <c r="Y222" s="40"/>
      <c r="Z222" s="41"/>
      <c r="AA222" s="226"/>
      <c r="AB222" s="43"/>
      <c r="AC222" s="35"/>
      <c r="AD222" s="35"/>
      <c r="AE222" s="44"/>
      <c r="AF222" s="41" t="s">
        <v>445</v>
      </c>
      <c r="AG222" s="41">
        <v>0</v>
      </c>
      <c r="AI222" s="46"/>
    </row>
    <row r="223" spans="1:35" s="45" customFormat="1" ht="24" x14ac:dyDescent="0.25">
      <c r="A223" s="29">
        <v>221</v>
      </c>
      <c r="B223" s="29" t="s">
        <v>407</v>
      </c>
      <c r="C223" s="30" t="s">
        <v>407</v>
      </c>
      <c r="D223" s="30">
        <v>0</v>
      </c>
      <c r="E223" s="30">
        <v>0</v>
      </c>
      <c r="F223" s="29"/>
      <c r="G223" s="31" t="s">
        <v>408</v>
      </c>
      <c r="H223" s="32" t="s">
        <v>1034</v>
      </c>
      <c r="I223" s="30" t="s">
        <v>469</v>
      </c>
      <c r="J223" s="30"/>
      <c r="K223" s="30"/>
      <c r="L223" s="101" t="s">
        <v>1062</v>
      </c>
      <c r="M223" s="35"/>
      <c r="N223" s="35">
        <v>7421316816</v>
      </c>
      <c r="O223" s="37"/>
      <c r="P223" s="37" t="s">
        <v>415</v>
      </c>
      <c r="Q223" s="35">
        <v>7421316816</v>
      </c>
      <c r="R223" s="38">
        <v>0</v>
      </c>
      <c r="S223" s="39" t="s">
        <v>34</v>
      </c>
      <c r="T223" s="40"/>
      <c r="U223" s="40"/>
      <c r="V223" s="35"/>
      <c r="W223" s="40"/>
      <c r="X223" s="40"/>
      <c r="Y223" s="40"/>
      <c r="Z223" s="41"/>
      <c r="AA223" s="226"/>
      <c r="AB223" s="43"/>
      <c r="AC223" s="35"/>
      <c r="AD223" s="35"/>
      <c r="AE223" s="44"/>
      <c r="AF223" s="41" t="s">
        <v>445</v>
      </c>
      <c r="AG223" s="41">
        <v>0</v>
      </c>
      <c r="AI223" s="46"/>
    </row>
    <row r="224" spans="1:35" s="45" customFormat="1" ht="24" x14ac:dyDescent="0.25">
      <c r="A224" s="29">
        <v>222</v>
      </c>
      <c r="B224" s="29" t="s">
        <v>407</v>
      </c>
      <c r="C224" s="30" t="s">
        <v>407</v>
      </c>
      <c r="D224" s="30">
        <v>0</v>
      </c>
      <c r="E224" s="30">
        <v>0</v>
      </c>
      <c r="F224" s="29"/>
      <c r="G224" s="31" t="s">
        <v>408</v>
      </c>
      <c r="H224" s="32" t="s">
        <v>1034</v>
      </c>
      <c r="I224" s="30" t="s">
        <v>469</v>
      </c>
      <c r="J224" s="30"/>
      <c r="K224" s="30"/>
      <c r="L224" s="101" t="s">
        <v>1063</v>
      </c>
      <c r="M224" s="35"/>
      <c r="N224" s="35">
        <v>7421316823</v>
      </c>
      <c r="O224" s="37"/>
      <c r="P224" s="37" t="s">
        <v>415</v>
      </c>
      <c r="Q224" s="35">
        <v>7421316823</v>
      </c>
      <c r="R224" s="38">
        <v>0</v>
      </c>
      <c r="S224" s="39" t="s">
        <v>34</v>
      </c>
      <c r="T224" s="40"/>
      <c r="U224" s="40"/>
      <c r="V224" s="35"/>
      <c r="W224" s="40"/>
      <c r="X224" s="40"/>
      <c r="Y224" s="40"/>
      <c r="Z224" s="41"/>
      <c r="AA224" s="226"/>
      <c r="AB224" s="43"/>
      <c r="AC224" s="35"/>
      <c r="AD224" s="35"/>
      <c r="AE224" s="44"/>
      <c r="AF224" s="41" t="s">
        <v>445</v>
      </c>
      <c r="AG224" s="41">
        <v>0</v>
      </c>
      <c r="AI224" s="46"/>
    </row>
    <row r="225" spans="1:35" s="45" customFormat="1" ht="24" x14ac:dyDescent="0.25">
      <c r="A225" s="29">
        <v>223</v>
      </c>
      <c r="B225" s="29" t="s">
        <v>407</v>
      </c>
      <c r="C225" s="30" t="s">
        <v>407</v>
      </c>
      <c r="D225" s="30">
        <v>0</v>
      </c>
      <c r="E225" s="30">
        <v>0</v>
      </c>
      <c r="F225" s="29"/>
      <c r="G225" s="31" t="s">
        <v>408</v>
      </c>
      <c r="H225" s="32" t="s">
        <v>1034</v>
      </c>
      <c r="I225" s="30" t="s">
        <v>469</v>
      </c>
      <c r="J225" s="30"/>
      <c r="K225" s="30"/>
      <c r="L225" s="101" t="s">
        <v>1064</v>
      </c>
      <c r="M225" s="35"/>
      <c r="N225" s="35">
        <v>7421316769</v>
      </c>
      <c r="O225" s="37"/>
      <c r="P225" s="37" t="s">
        <v>415</v>
      </c>
      <c r="Q225" s="35">
        <v>7421316769</v>
      </c>
      <c r="R225" s="38">
        <v>0</v>
      </c>
      <c r="S225" s="39" t="s">
        <v>34</v>
      </c>
      <c r="T225" s="40"/>
      <c r="U225" s="40"/>
      <c r="V225" s="35"/>
      <c r="W225" s="40"/>
      <c r="X225" s="40"/>
      <c r="Y225" s="40"/>
      <c r="Z225" s="41"/>
      <c r="AA225" s="226"/>
      <c r="AB225" s="43"/>
      <c r="AC225" s="35"/>
      <c r="AD225" s="35"/>
      <c r="AE225" s="44"/>
      <c r="AF225" s="41" t="s">
        <v>445</v>
      </c>
      <c r="AG225" s="41">
        <v>0</v>
      </c>
      <c r="AI225" s="46"/>
    </row>
    <row r="226" spans="1:35" s="45" customFormat="1" ht="24" x14ac:dyDescent="0.25">
      <c r="A226" s="29">
        <v>224</v>
      </c>
      <c r="B226" s="29" t="s">
        <v>407</v>
      </c>
      <c r="C226" s="30" t="s">
        <v>407</v>
      </c>
      <c r="D226" s="30">
        <v>0</v>
      </c>
      <c r="E226" s="30">
        <v>0</v>
      </c>
      <c r="F226" s="29"/>
      <c r="G226" s="31" t="s">
        <v>408</v>
      </c>
      <c r="H226" s="32" t="s">
        <v>1034</v>
      </c>
      <c r="I226" s="30" t="s">
        <v>469</v>
      </c>
      <c r="J226" s="30"/>
      <c r="K226" s="30"/>
      <c r="L226" s="101" t="s">
        <v>1065</v>
      </c>
      <c r="M226" s="35"/>
      <c r="N226" s="35">
        <v>7421558066</v>
      </c>
      <c r="O226" s="37"/>
      <c r="P226" s="37" t="s">
        <v>415</v>
      </c>
      <c r="Q226" s="35">
        <v>7421558066</v>
      </c>
      <c r="R226" s="38">
        <v>0</v>
      </c>
      <c r="S226" s="39" t="s">
        <v>34</v>
      </c>
      <c r="T226" s="40"/>
      <c r="U226" s="40"/>
      <c r="V226" s="35"/>
      <c r="W226" s="40"/>
      <c r="X226" s="40"/>
      <c r="Y226" s="40"/>
      <c r="Z226" s="41"/>
      <c r="AA226" s="226"/>
      <c r="AB226" s="43"/>
      <c r="AC226" s="35"/>
      <c r="AD226" s="35"/>
      <c r="AE226" s="44"/>
      <c r="AF226" s="41" t="s">
        <v>445</v>
      </c>
      <c r="AG226" s="41">
        <v>0</v>
      </c>
      <c r="AI226" s="46"/>
    </row>
    <row r="227" spans="1:35" s="45" customFormat="1" ht="24" x14ac:dyDescent="0.25">
      <c r="A227" s="29">
        <v>225</v>
      </c>
      <c r="B227" s="29" t="s">
        <v>407</v>
      </c>
      <c r="C227" s="30" t="s">
        <v>407</v>
      </c>
      <c r="D227" s="30">
        <v>0</v>
      </c>
      <c r="E227" s="30">
        <v>0</v>
      </c>
      <c r="F227" s="29"/>
      <c r="G227" s="31" t="s">
        <v>408</v>
      </c>
      <c r="H227" s="32" t="s">
        <v>1034</v>
      </c>
      <c r="I227" s="30" t="s">
        <v>469</v>
      </c>
      <c r="J227" s="30"/>
      <c r="K227" s="30"/>
      <c r="L227" s="101" t="s">
        <v>1066</v>
      </c>
      <c r="M227" s="35"/>
      <c r="N227" s="35">
        <v>7421316779</v>
      </c>
      <c r="O227" s="37"/>
      <c r="P227" s="37" t="s">
        <v>415</v>
      </c>
      <c r="Q227" s="35">
        <v>7421316779</v>
      </c>
      <c r="R227" s="38">
        <v>0</v>
      </c>
      <c r="S227" s="39" t="s">
        <v>34</v>
      </c>
      <c r="T227" s="40"/>
      <c r="U227" s="40"/>
      <c r="V227" s="35"/>
      <c r="W227" s="40"/>
      <c r="X227" s="40"/>
      <c r="Y227" s="40"/>
      <c r="Z227" s="41"/>
      <c r="AA227" s="226"/>
      <c r="AB227" s="43"/>
      <c r="AC227" s="35"/>
      <c r="AD227" s="35"/>
      <c r="AE227" s="44"/>
      <c r="AF227" s="41" t="s">
        <v>445</v>
      </c>
      <c r="AG227" s="41">
        <v>0</v>
      </c>
      <c r="AI227" s="46"/>
    </row>
    <row r="228" spans="1:35" s="45" customFormat="1" ht="24" x14ac:dyDescent="0.25">
      <c r="A228" s="29">
        <v>226</v>
      </c>
      <c r="B228" s="29" t="s">
        <v>407</v>
      </c>
      <c r="C228" s="30" t="s">
        <v>407</v>
      </c>
      <c r="D228" s="30">
        <v>0</v>
      </c>
      <c r="E228" s="30">
        <v>0</v>
      </c>
      <c r="F228" s="29"/>
      <c r="G228" s="31" t="s">
        <v>408</v>
      </c>
      <c r="H228" s="32" t="s">
        <v>1034</v>
      </c>
      <c r="I228" s="30" t="s">
        <v>469</v>
      </c>
      <c r="J228" s="30"/>
      <c r="K228" s="30"/>
      <c r="L228" s="101" t="s">
        <v>1067</v>
      </c>
      <c r="M228" s="35"/>
      <c r="N228" s="35">
        <v>7421316761</v>
      </c>
      <c r="O228" s="37"/>
      <c r="P228" s="37" t="s">
        <v>415</v>
      </c>
      <c r="Q228" s="35">
        <v>7421316761</v>
      </c>
      <c r="R228" s="38">
        <v>0</v>
      </c>
      <c r="S228" s="39" t="s">
        <v>34</v>
      </c>
      <c r="T228" s="40"/>
      <c r="U228" s="40"/>
      <c r="V228" s="35"/>
      <c r="W228" s="40"/>
      <c r="X228" s="40"/>
      <c r="Y228" s="40"/>
      <c r="Z228" s="41"/>
      <c r="AA228" s="226"/>
      <c r="AB228" s="43"/>
      <c r="AC228" s="35"/>
      <c r="AD228" s="35"/>
      <c r="AE228" s="44"/>
      <c r="AF228" s="41" t="s">
        <v>445</v>
      </c>
      <c r="AG228" s="41">
        <v>0</v>
      </c>
      <c r="AI228" s="46"/>
    </row>
    <row r="229" spans="1:35" s="45" customFormat="1" ht="24" x14ac:dyDescent="0.25">
      <c r="A229" s="29">
        <v>227</v>
      </c>
      <c r="B229" s="29" t="s">
        <v>407</v>
      </c>
      <c r="C229" s="30" t="s">
        <v>407</v>
      </c>
      <c r="D229" s="30">
        <v>0</v>
      </c>
      <c r="E229" s="30">
        <v>0</v>
      </c>
      <c r="F229" s="29"/>
      <c r="G229" s="31" t="s">
        <v>408</v>
      </c>
      <c r="H229" s="32" t="s">
        <v>1034</v>
      </c>
      <c r="I229" s="30" t="s">
        <v>469</v>
      </c>
      <c r="J229" s="30"/>
      <c r="K229" s="30"/>
      <c r="L229" s="101" t="s">
        <v>1068</v>
      </c>
      <c r="M229" s="35"/>
      <c r="N229" s="35">
        <v>7421316830</v>
      </c>
      <c r="O229" s="37"/>
      <c r="P229" s="37" t="s">
        <v>415</v>
      </c>
      <c r="Q229" s="35">
        <v>7421316830</v>
      </c>
      <c r="R229" s="38">
        <v>0</v>
      </c>
      <c r="S229" s="39" t="s">
        <v>34</v>
      </c>
      <c r="T229" s="40"/>
      <c r="U229" s="40"/>
      <c r="V229" s="35"/>
      <c r="W229" s="40"/>
      <c r="X229" s="40"/>
      <c r="Y229" s="40"/>
      <c r="Z229" s="41"/>
      <c r="AA229" s="226"/>
      <c r="AB229" s="43"/>
      <c r="AC229" s="35"/>
      <c r="AD229" s="35"/>
      <c r="AE229" s="44"/>
      <c r="AF229" s="41" t="s">
        <v>445</v>
      </c>
      <c r="AG229" s="41">
        <v>0</v>
      </c>
      <c r="AI229" s="46"/>
    </row>
    <row r="230" spans="1:35" s="45" customFormat="1" ht="24" x14ac:dyDescent="0.25">
      <c r="A230" s="29">
        <v>228</v>
      </c>
      <c r="B230" s="29" t="s">
        <v>407</v>
      </c>
      <c r="C230" s="30" t="s">
        <v>407</v>
      </c>
      <c r="D230" s="30">
        <v>0</v>
      </c>
      <c r="E230" s="30">
        <v>0</v>
      </c>
      <c r="F230" s="29"/>
      <c r="G230" s="31" t="s">
        <v>408</v>
      </c>
      <c r="H230" s="32" t="s">
        <v>1034</v>
      </c>
      <c r="I230" s="30" t="s">
        <v>469</v>
      </c>
      <c r="J230" s="30"/>
      <c r="K230" s="30"/>
      <c r="L230" s="101" t="s">
        <v>1069</v>
      </c>
      <c r="M230" s="35"/>
      <c r="N230" s="35">
        <v>7421316808</v>
      </c>
      <c r="O230" s="37"/>
      <c r="P230" s="37" t="s">
        <v>415</v>
      </c>
      <c r="Q230" s="35">
        <v>7421316808</v>
      </c>
      <c r="R230" s="38">
        <v>0</v>
      </c>
      <c r="S230" s="39" t="s">
        <v>34</v>
      </c>
      <c r="T230" s="40"/>
      <c r="U230" s="40"/>
      <c r="V230" s="35"/>
      <c r="W230" s="40"/>
      <c r="X230" s="40"/>
      <c r="Y230" s="40"/>
      <c r="Z230" s="41"/>
      <c r="AA230" s="226"/>
      <c r="AB230" s="43"/>
      <c r="AC230" s="35"/>
      <c r="AD230" s="35"/>
      <c r="AE230" s="44"/>
      <c r="AF230" s="41" t="s">
        <v>445</v>
      </c>
      <c r="AG230" s="41">
        <v>0</v>
      </c>
      <c r="AI230" s="46"/>
    </row>
    <row r="231" spans="1:35" s="45" customFormat="1" ht="24" x14ac:dyDescent="0.25">
      <c r="A231" s="29">
        <v>229</v>
      </c>
      <c r="B231" s="29" t="s">
        <v>407</v>
      </c>
      <c r="C231" s="30" t="s">
        <v>407</v>
      </c>
      <c r="D231" s="30">
        <v>0</v>
      </c>
      <c r="E231" s="30">
        <v>0</v>
      </c>
      <c r="F231" s="29"/>
      <c r="G231" s="31" t="s">
        <v>408</v>
      </c>
      <c r="H231" s="32" t="s">
        <v>1034</v>
      </c>
      <c r="I231" s="30" t="s">
        <v>469</v>
      </c>
      <c r="J231" s="30"/>
      <c r="K231" s="30"/>
      <c r="L231" s="101" t="s">
        <v>1070</v>
      </c>
      <c r="M231" s="35"/>
      <c r="N231" s="35">
        <v>7421316764</v>
      </c>
      <c r="O231" s="37"/>
      <c r="P231" s="37" t="s">
        <v>415</v>
      </c>
      <c r="Q231" s="35">
        <v>7421316764</v>
      </c>
      <c r="R231" s="38">
        <v>0</v>
      </c>
      <c r="S231" s="39" t="s">
        <v>34</v>
      </c>
      <c r="T231" s="40"/>
      <c r="U231" s="40"/>
      <c r="V231" s="35"/>
      <c r="W231" s="40"/>
      <c r="X231" s="40"/>
      <c r="Y231" s="40"/>
      <c r="Z231" s="41"/>
      <c r="AA231" s="226"/>
      <c r="AB231" s="43"/>
      <c r="AC231" s="35"/>
      <c r="AD231" s="35"/>
      <c r="AE231" s="44"/>
      <c r="AF231" s="41" t="s">
        <v>445</v>
      </c>
      <c r="AG231" s="41">
        <v>0</v>
      </c>
      <c r="AI231" s="46"/>
    </row>
    <row r="232" spans="1:35" s="45" customFormat="1" ht="24" x14ac:dyDescent="0.25">
      <c r="A232" s="29">
        <v>230</v>
      </c>
      <c r="B232" s="29" t="s">
        <v>407</v>
      </c>
      <c r="C232" s="30" t="s">
        <v>407</v>
      </c>
      <c r="D232" s="30">
        <v>0</v>
      </c>
      <c r="E232" s="30">
        <v>0</v>
      </c>
      <c r="F232" s="29"/>
      <c r="G232" s="31" t="s">
        <v>408</v>
      </c>
      <c r="H232" s="32" t="s">
        <v>1034</v>
      </c>
      <c r="I232" s="30" t="s">
        <v>469</v>
      </c>
      <c r="J232" s="30"/>
      <c r="K232" s="30"/>
      <c r="L232" s="101" t="s">
        <v>1071</v>
      </c>
      <c r="M232" s="35"/>
      <c r="N232" s="35">
        <v>742108472</v>
      </c>
      <c r="O232" s="37"/>
      <c r="P232" s="37" t="s">
        <v>415</v>
      </c>
      <c r="Q232" s="35">
        <v>742108472</v>
      </c>
      <c r="R232" s="38">
        <v>0</v>
      </c>
      <c r="S232" s="39" t="s">
        <v>34</v>
      </c>
      <c r="T232" s="40"/>
      <c r="U232" s="40"/>
      <c r="V232" s="35"/>
      <c r="W232" s="40"/>
      <c r="X232" s="40"/>
      <c r="Y232" s="40"/>
      <c r="Z232" s="41"/>
      <c r="AA232" s="226"/>
      <c r="AB232" s="43"/>
      <c r="AC232" s="35"/>
      <c r="AD232" s="35"/>
      <c r="AE232" s="44"/>
      <c r="AF232" s="41" t="s">
        <v>445</v>
      </c>
      <c r="AG232" s="41">
        <v>0</v>
      </c>
      <c r="AI232" s="46"/>
    </row>
    <row r="233" spans="1:35" s="45" customFormat="1" ht="24" x14ac:dyDescent="0.25">
      <c r="A233" s="29">
        <v>231</v>
      </c>
      <c r="B233" s="29" t="s">
        <v>407</v>
      </c>
      <c r="C233" s="30" t="s">
        <v>407</v>
      </c>
      <c r="D233" s="30">
        <v>0</v>
      </c>
      <c r="E233" s="30">
        <v>0</v>
      </c>
      <c r="F233" s="29"/>
      <c r="G233" s="31" t="s">
        <v>408</v>
      </c>
      <c r="H233" s="32" t="s">
        <v>1034</v>
      </c>
      <c r="I233" s="30" t="s">
        <v>469</v>
      </c>
      <c r="J233" s="30"/>
      <c r="K233" s="30"/>
      <c r="L233" s="101" t="s">
        <v>1072</v>
      </c>
      <c r="M233" s="35"/>
      <c r="N233" s="35">
        <v>5000610266</v>
      </c>
      <c r="O233" s="37"/>
      <c r="P233" s="37" t="s">
        <v>415</v>
      </c>
      <c r="Q233" s="35">
        <v>5000610266</v>
      </c>
      <c r="R233" s="38">
        <v>0</v>
      </c>
      <c r="S233" s="39" t="s">
        <v>34</v>
      </c>
      <c r="T233" s="40"/>
      <c r="U233" s="40"/>
      <c r="V233" s="35"/>
      <c r="W233" s="40"/>
      <c r="X233" s="40"/>
      <c r="Y233" s="40"/>
      <c r="Z233" s="41"/>
      <c r="AA233" s="226"/>
      <c r="AB233" s="43"/>
      <c r="AC233" s="35"/>
      <c r="AD233" s="35"/>
      <c r="AE233" s="44"/>
      <c r="AF233" s="41" t="s">
        <v>445</v>
      </c>
      <c r="AG233" s="41">
        <v>0</v>
      </c>
      <c r="AI233" s="46"/>
    </row>
    <row r="234" spans="1:35" s="45" customFormat="1" ht="24" x14ac:dyDescent="0.25">
      <c r="A234" s="29">
        <v>232</v>
      </c>
      <c r="B234" s="29" t="s">
        <v>407</v>
      </c>
      <c r="C234" s="30" t="s">
        <v>407</v>
      </c>
      <c r="D234" s="30">
        <v>0</v>
      </c>
      <c r="E234" s="30">
        <v>0</v>
      </c>
      <c r="F234" s="29"/>
      <c r="G234" s="31" t="s">
        <v>408</v>
      </c>
      <c r="H234" s="32" t="s">
        <v>1034</v>
      </c>
      <c r="I234" s="30" t="s">
        <v>469</v>
      </c>
      <c r="J234" s="30"/>
      <c r="K234" s="30"/>
      <c r="L234" s="101" t="s">
        <v>1073</v>
      </c>
      <c r="M234" s="35"/>
      <c r="N234" s="35">
        <v>5010505224</v>
      </c>
      <c r="O234" s="37"/>
      <c r="P234" s="37" t="s">
        <v>415</v>
      </c>
      <c r="Q234" s="35">
        <v>5010505224</v>
      </c>
      <c r="R234" s="38">
        <v>0</v>
      </c>
      <c r="S234" s="39" t="s">
        <v>34</v>
      </c>
      <c r="T234" s="40"/>
      <c r="U234" s="40"/>
      <c r="V234" s="35"/>
      <c r="W234" s="40"/>
      <c r="X234" s="40"/>
      <c r="Y234" s="40"/>
      <c r="Z234" s="41"/>
      <c r="AA234" s="226"/>
      <c r="AB234" s="43"/>
      <c r="AC234" s="35"/>
      <c r="AD234" s="35"/>
      <c r="AE234" s="44"/>
      <c r="AF234" s="41" t="s">
        <v>445</v>
      </c>
      <c r="AG234" s="41">
        <v>0</v>
      </c>
      <c r="AI234" s="46"/>
    </row>
    <row r="235" spans="1:35" s="45" customFormat="1" ht="24" x14ac:dyDescent="0.25">
      <c r="A235" s="29">
        <v>233</v>
      </c>
      <c r="B235" s="29" t="s">
        <v>407</v>
      </c>
      <c r="C235" s="30" t="s">
        <v>407</v>
      </c>
      <c r="D235" s="30">
        <v>0</v>
      </c>
      <c r="E235" s="30">
        <v>0</v>
      </c>
      <c r="F235" s="29"/>
      <c r="G235" s="31" t="s">
        <v>408</v>
      </c>
      <c r="H235" s="32" t="s">
        <v>1034</v>
      </c>
      <c r="I235" s="30" t="s">
        <v>469</v>
      </c>
      <c r="J235" s="30"/>
      <c r="K235" s="30"/>
      <c r="L235" s="101" t="s">
        <v>1074</v>
      </c>
      <c r="M235" s="35"/>
      <c r="N235" s="35">
        <v>7421081415</v>
      </c>
      <c r="O235" s="37"/>
      <c r="P235" s="37" t="s">
        <v>415</v>
      </c>
      <c r="Q235" s="35">
        <v>7421081415</v>
      </c>
      <c r="R235" s="38">
        <v>0</v>
      </c>
      <c r="S235" s="39" t="s">
        <v>34</v>
      </c>
      <c r="T235" s="40"/>
      <c r="U235" s="40"/>
      <c r="V235" s="35"/>
      <c r="W235" s="40"/>
      <c r="X235" s="40"/>
      <c r="Y235" s="40"/>
      <c r="Z235" s="41"/>
      <c r="AA235" s="226"/>
      <c r="AB235" s="43"/>
      <c r="AC235" s="35"/>
      <c r="AD235" s="35"/>
      <c r="AE235" s="44"/>
      <c r="AF235" s="41" t="s">
        <v>445</v>
      </c>
      <c r="AG235" s="41">
        <v>0</v>
      </c>
      <c r="AI235" s="46"/>
    </row>
    <row r="236" spans="1:35" s="45" customFormat="1" ht="24" x14ac:dyDescent="0.25">
      <c r="A236" s="29">
        <v>234</v>
      </c>
      <c r="B236" s="29" t="s">
        <v>407</v>
      </c>
      <c r="C236" s="30" t="s">
        <v>407</v>
      </c>
      <c r="D236" s="30">
        <v>0</v>
      </c>
      <c r="E236" s="30">
        <v>0</v>
      </c>
      <c r="F236" s="29"/>
      <c r="G236" s="31" t="s">
        <v>408</v>
      </c>
      <c r="H236" s="32" t="s">
        <v>1034</v>
      </c>
      <c r="I236" s="30" t="s">
        <v>469</v>
      </c>
      <c r="J236" s="30"/>
      <c r="K236" s="30"/>
      <c r="L236" s="101" t="s">
        <v>1075</v>
      </c>
      <c r="M236" s="35"/>
      <c r="N236" s="35">
        <v>7400914672</v>
      </c>
      <c r="O236" s="37"/>
      <c r="P236" s="37" t="s">
        <v>415</v>
      </c>
      <c r="Q236" s="35">
        <v>7400914672</v>
      </c>
      <c r="R236" s="38">
        <v>0</v>
      </c>
      <c r="S236" s="39" t="s">
        <v>34</v>
      </c>
      <c r="T236" s="40"/>
      <c r="U236" s="40"/>
      <c r="V236" s="35"/>
      <c r="W236" s="40"/>
      <c r="X236" s="40"/>
      <c r="Y236" s="40"/>
      <c r="Z236" s="41"/>
      <c r="AA236" s="226"/>
      <c r="AB236" s="43"/>
      <c r="AC236" s="35"/>
      <c r="AD236" s="35"/>
      <c r="AE236" s="44"/>
      <c r="AF236" s="41" t="s">
        <v>445</v>
      </c>
      <c r="AG236" s="41">
        <v>0</v>
      </c>
      <c r="AI236" s="46"/>
    </row>
    <row r="237" spans="1:35" s="45" customFormat="1" ht="24" x14ac:dyDescent="0.25">
      <c r="A237" s="29">
        <v>235</v>
      </c>
      <c r="B237" s="29" t="s">
        <v>407</v>
      </c>
      <c r="C237" s="30" t="s">
        <v>407</v>
      </c>
      <c r="D237" s="30">
        <v>0</v>
      </c>
      <c r="E237" s="30">
        <v>0</v>
      </c>
      <c r="F237" s="29"/>
      <c r="G237" s="31" t="s">
        <v>408</v>
      </c>
      <c r="H237" s="32" t="s">
        <v>1034</v>
      </c>
      <c r="I237" s="30" t="s">
        <v>469</v>
      </c>
      <c r="J237" s="30"/>
      <c r="K237" s="30"/>
      <c r="L237" s="101" t="s">
        <v>1076</v>
      </c>
      <c r="M237" s="35"/>
      <c r="N237" s="35">
        <v>7701002979</v>
      </c>
      <c r="O237" s="37"/>
      <c r="P237" s="37" t="s">
        <v>415</v>
      </c>
      <c r="Q237" s="35">
        <v>7701002979</v>
      </c>
      <c r="R237" s="38">
        <v>0</v>
      </c>
      <c r="S237" s="39" t="s">
        <v>34</v>
      </c>
      <c r="T237" s="40"/>
      <c r="U237" s="40"/>
      <c r="V237" s="35"/>
      <c r="W237" s="40"/>
      <c r="X237" s="40"/>
      <c r="Y237" s="40"/>
      <c r="Z237" s="41"/>
      <c r="AA237" s="226"/>
      <c r="AB237" s="43"/>
      <c r="AC237" s="35"/>
      <c r="AD237" s="35"/>
      <c r="AE237" s="44"/>
      <c r="AF237" s="41" t="s">
        <v>445</v>
      </c>
      <c r="AG237" s="41">
        <v>0</v>
      </c>
      <c r="AI237" s="46"/>
    </row>
    <row r="238" spans="1:35" s="45" customFormat="1" ht="24" x14ac:dyDescent="0.25">
      <c r="A238" s="29">
        <v>236</v>
      </c>
      <c r="B238" s="29" t="s">
        <v>407</v>
      </c>
      <c r="C238" s="30" t="s">
        <v>407</v>
      </c>
      <c r="D238" s="30">
        <v>0</v>
      </c>
      <c r="E238" s="30">
        <v>0</v>
      </c>
      <c r="F238" s="29"/>
      <c r="G238" s="31" t="s">
        <v>408</v>
      </c>
      <c r="H238" s="32" t="s">
        <v>1034</v>
      </c>
      <c r="I238" s="30" t="s">
        <v>469</v>
      </c>
      <c r="J238" s="30"/>
      <c r="K238" s="30"/>
      <c r="L238" s="101" t="s">
        <v>1077</v>
      </c>
      <c r="M238" s="35"/>
      <c r="N238" s="35" t="s">
        <v>1078</v>
      </c>
      <c r="O238" s="37"/>
      <c r="P238" s="37" t="s">
        <v>415</v>
      </c>
      <c r="Q238" s="35" t="s">
        <v>1078</v>
      </c>
      <c r="R238" s="38">
        <v>0</v>
      </c>
      <c r="S238" s="39" t="s">
        <v>34</v>
      </c>
      <c r="T238" s="40"/>
      <c r="U238" s="40"/>
      <c r="V238" s="35"/>
      <c r="W238" s="40"/>
      <c r="X238" s="40"/>
      <c r="Y238" s="40"/>
      <c r="Z238" s="41"/>
      <c r="AA238" s="226"/>
      <c r="AB238" s="43"/>
      <c r="AC238" s="35"/>
      <c r="AD238" s="35"/>
      <c r="AE238" s="44"/>
      <c r="AF238" s="41" t="s">
        <v>445</v>
      </c>
      <c r="AG238" s="41">
        <v>0</v>
      </c>
      <c r="AI238" s="46"/>
    </row>
    <row r="239" spans="1:35" s="45" customFormat="1" ht="24" x14ac:dyDescent="0.25">
      <c r="A239" s="29">
        <v>237</v>
      </c>
      <c r="B239" s="29" t="s">
        <v>407</v>
      </c>
      <c r="C239" s="30" t="s">
        <v>407</v>
      </c>
      <c r="D239" s="30">
        <v>0</v>
      </c>
      <c r="E239" s="30">
        <v>0</v>
      </c>
      <c r="F239" s="30"/>
      <c r="G239" s="31" t="s">
        <v>408</v>
      </c>
      <c r="H239" s="32" t="s">
        <v>1034</v>
      </c>
      <c r="I239" s="30" t="s">
        <v>410</v>
      </c>
      <c r="J239" s="30"/>
      <c r="K239" s="30"/>
      <c r="L239" s="31" t="s">
        <v>1079</v>
      </c>
      <c r="M239" s="35" t="s">
        <v>412</v>
      </c>
      <c r="N239" s="35" t="s">
        <v>1080</v>
      </c>
      <c r="O239" s="37" t="s">
        <v>415</v>
      </c>
      <c r="P239" s="37" t="s">
        <v>415</v>
      </c>
      <c r="Q239" s="35" t="s">
        <v>1080</v>
      </c>
      <c r="R239" s="38">
        <v>0</v>
      </c>
      <c r="S239" s="39" t="s">
        <v>34</v>
      </c>
      <c r="T239" s="40"/>
      <c r="U239" s="40"/>
      <c r="V239" s="35"/>
      <c r="W239" s="48" t="s">
        <v>579</v>
      </c>
      <c r="X239" s="40"/>
      <c r="Y239" s="40"/>
      <c r="Z239" s="41"/>
      <c r="AA239" s="42"/>
      <c r="AB239" s="43"/>
      <c r="AC239" s="35"/>
      <c r="AD239" s="35"/>
      <c r="AE239" s="44"/>
      <c r="AF239" s="41" t="s">
        <v>445</v>
      </c>
      <c r="AG239" s="41">
        <v>0</v>
      </c>
      <c r="AI239" s="46"/>
    </row>
    <row r="240" spans="1:35" s="45" customFormat="1" ht="24" x14ac:dyDescent="0.25">
      <c r="A240" s="29">
        <v>238</v>
      </c>
      <c r="B240" s="29" t="s">
        <v>407</v>
      </c>
      <c r="C240" s="30" t="s">
        <v>407</v>
      </c>
      <c r="D240" s="30">
        <v>0</v>
      </c>
      <c r="E240" s="30">
        <v>0</v>
      </c>
      <c r="F240" s="29"/>
      <c r="G240" s="31" t="s">
        <v>408</v>
      </c>
      <c r="H240" s="32" t="s">
        <v>1034</v>
      </c>
      <c r="I240" s="30" t="s">
        <v>469</v>
      </c>
      <c r="J240" s="30"/>
      <c r="K240" s="30"/>
      <c r="L240" s="101" t="s">
        <v>1081</v>
      </c>
      <c r="M240" s="35"/>
      <c r="N240" s="35" t="s">
        <v>1082</v>
      </c>
      <c r="O240" s="37" t="s">
        <v>415</v>
      </c>
      <c r="P240" s="37" t="s">
        <v>415</v>
      </c>
      <c r="Q240" s="35" t="s">
        <v>1082</v>
      </c>
      <c r="R240" s="38">
        <v>0</v>
      </c>
      <c r="S240" s="39" t="s">
        <v>34</v>
      </c>
      <c r="T240" s="40"/>
      <c r="U240" s="40"/>
      <c r="V240" s="35"/>
      <c r="W240" s="40"/>
      <c r="X240" s="40"/>
      <c r="Y240" s="40"/>
      <c r="Z240" s="41"/>
      <c r="AA240" s="226"/>
      <c r="AB240" s="43"/>
      <c r="AC240" s="35"/>
      <c r="AD240" s="35"/>
      <c r="AE240" s="44"/>
      <c r="AF240" s="41" t="s">
        <v>445</v>
      </c>
      <c r="AG240" s="41">
        <v>0</v>
      </c>
      <c r="AI240" s="46"/>
    </row>
    <row r="241" spans="1:35" s="45" customFormat="1" ht="24" x14ac:dyDescent="0.25">
      <c r="A241" s="29">
        <v>239</v>
      </c>
      <c r="B241" s="29" t="s">
        <v>407</v>
      </c>
      <c r="C241" s="30" t="s">
        <v>407</v>
      </c>
      <c r="D241" s="30">
        <v>0</v>
      </c>
      <c r="E241" s="30">
        <v>0</v>
      </c>
      <c r="F241" s="29"/>
      <c r="G241" s="31" t="s">
        <v>408</v>
      </c>
      <c r="H241" s="32" t="s">
        <v>1034</v>
      </c>
      <c r="I241" s="30" t="s">
        <v>469</v>
      </c>
      <c r="J241" s="30"/>
      <c r="K241" s="30"/>
      <c r="L241" s="101" t="s">
        <v>1083</v>
      </c>
      <c r="M241" s="35"/>
      <c r="N241" s="35" t="s">
        <v>1084</v>
      </c>
      <c r="O241" s="37"/>
      <c r="P241" s="37" t="s">
        <v>415</v>
      </c>
      <c r="Q241" s="35" t="s">
        <v>1084</v>
      </c>
      <c r="R241" s="38">
        <v>0</v>
      </c>
      <c r="S241" s="39" t="s">
        <v>34</v>
      </c>
      <c r="T241" s="40"/>
      <c r="U241" s="40"/>
      <c r="V241" s="35"/>
      <c r="W241" s="40"/>
      <c r="X241" s="40"/>
      <c r="Y241" s="40"/>
      <c r="Z241" s="41"/>
      <c r="AA241" s="226"/>
      <c r="AB241" s="43"/>
      <c r="AC241" s="35"/>
      <c r="AD241" s="35"/>
      <c r="AE241" s="44"/>
      <c r="AF241" s="41" t="s">
        <v>445</v>
      </c>
      <c r="AG241" s="41">
        <v>0</v>
      </c>
      <c r="AI241" s="46"/>
    </row>
    <row r="242" spans="1:35" s="45" customFormat="1" ht="24" x14ac:dyDescent="0.25">
      <c r="A242" s="29">
        <v>240</v>
      </c>
      <c r="B242" s="29" t="s">
        <v>407</v>
      </c>
      <c r="C242" s="30" t="s">
        <v>407</v>
      </c>
      <c r="D242" s="30">
        <v>0</v>
      </c>
      <c r="E242" s="30">
        <v>0</v>
      </c>
      <c r="F242" s="29"/>
      <c r="G242" s="31" t="s">
        <v>408</v>
      </c>
      <c r="H242" s="32" t="s">
        <v>1034</v>
      </c>
      <c r="I242" s="30" t="s">
        <v>469</v>
      </c>
      <c r="J242" s="30"/>
      <c r="K242" s="30"/>
      <c r="L242" s="101" t="s">
        <v>1085</v>
      </c>
      <c r="M242" s="35"/>
      <c r="N242" s="35">
        <v>7421316781</v>
      </c>
      <c r="O242" s="37"/>
      <c r="P242" s="37" t="s">
        <v>415</v>
      </c>
      <c r="Q242" s="35">
        <v>7421316781</v>
      </c>
      <c r="R242" s="38">
        <v>0</v>
      </c>
      <c r="S242" s="39" t="s">
        <v>34</v>
      </c>
      <c r="T242" s="40"/>
      <c r="U242" s="40"/>
      <c r="V242" s="35"/>
      <c r="W242" s="40"/>
      <c r="X242" s="40"/>
      <c r="Y242" s="40"/>
      <c r="Z242" s="41"/>
      <c r="AA242" s="226"/>
      <c r="AB242" s="43"/>
      <c r="AC242" s="35"/>
      <c r="AD242" s="35"/>
      <c r="AE242" s="44"/>
      <c r="AF242" s="41" t="s">
        <v>445</v>
      </c>
      <c r="AG242" s="41">
        <v>0</v>
      </c>
      <c r="AI242" s="46"/>
    </row>
    <row r="243" spans="1:35" s="45" customFormat="1" ht="24" x14ac:dyDescent="0.25">
      <c r="A243" s="29">
        <v>241</v>
      </c>
      <c r="B243" s="29" t="s">
        <v>407</v>
      </c>
      <c r="C243" s="30" t="s">
        <v>407</v>
      </c>
      <c r="D243" s="30">
        <v>0</v>
      </c>
      <c r="E243" s="30">
        <v>0</v>
      </c>
      <c r="F243" s="30"/>
      <c r="G243" s="31" t="s">
        <v>408</v>
      </c>
      <c r="H243" s="32" t="s">
        <v>1034</v>
      </c>
      <c r="I243" s="30" t="s">
        <v>410</v>
      </c>
      <c r="J243" s="30"/>
      <c r="K243" s="30" t="s">
        <v>1086</v>
      </c>
      <c r="L243" s="31" t="s">
        <v>1087</v>
      </c>
      <c r="M243" s="35" t="s">
        <v>412</v>
      </c>
      <c r="N243" s="35" t="s">
        <v>1088</v>
      </c>
      <c r="O243" s="37" t="s">
        <v>415</v>
      </c>
      <c r="P243" s="37" t="s">
        <v>415</v>
      </c>
      <c r="Q243" s="35" t="s">
        <v>1088</v>
      </c>
      <c r="R243" s="38">
        <v>0</v>
      </c>
      <c r="S243" s="39" t="s">
        <v>34</v>
      </c>
      <c r="T243" s="40"/>
      <c r="U243" s="40"/>
      <c r="V243" s="35"/>
      <c r="W243" s="48" t="s">
        <v>421</v>
      </c>
      <c r="X243" s="40"/>
      <c r="Y243" s="40"/>
      <c r="Z243" s="41"/>
      <c r="AA243" s="42"/>
      <c r="AB243" s="43"/>
      <c r="AC243" s="35"/>
      <c r="AD243" s="35"/>
      <c r="AE243" s="44"/>
      <c r="AF243" s="41" t="s">
        <v>445</v>
      </c>
      <c r="AG243" s="41">
        <v>0</v>
      </c>
      <c r="AI243" s="46"/>
    </row>
    <row r="244" spans="1:35" s="45" customFormat="1" ht="24" x14ac:dyDescent="0.25">
      <c r="A244" s="29">
        <v>242</v>
      </c>
      <c r="B244" s="29" t="s">
        <v>407</v>
      </c>
      <c r="C244" s="30" t="s">
        <v>407</v>
      </c>
      <c r="D244" s="30">
        <v>0</v>
      </c>
      <c r="E244" s="30">
        <v>0</v>
      </c>
      <c r="F244" s="29"/>
      <c r="G244" s="31" t="s">
        <v>408</v>
      </c>
      <c r="H244" s="32" t="s">
        <v>1034</v>
      </c>
      <c r="I244" s="30" t="s">
        <v>469</v>
      </c>
      <c r="J244" s="30"/>
      <c r="K244" s="30"/>
      <c r="L244" s="101" t="s">
        <v>1089</v>
      </c>
      <c r="M244" s="35"/>
      <c r="N244" s="35">
        <v>7421186942</v>
      </c>
      <c r="O244" s="37"/>
      <c r="P244" s="37" t="s">
        <v>415</v>
      </c>
      <c r="Q244" s="35">
        <v>7421186942</v>
      </c>
      <c r="R244" s="38">
        <v>0</v>
      </c>
      <c r="S244" s="39" t="s">
        <v>34</v>
      </c>
      <c r="T244" s="40"/>
      <c r="U244" s="40"/>
      <c r="V244" s="35"/>
      <c r="W244" s="40"/>
      <c r="X244" s="40"/>
      <c r="Y244" s="40"/>
      <c r="Z244" s="41"/>
      <c r="AA244" s="226"/>
      <c r="AB244" s="43"/>
      <c r="AC244" s="35"/>
      <c r="AD244" s="35"/>
      <c r="AE244" s="44"/>
      <c r="AF244" s="41" t="s">
        <v>445</v>
      </c>
      <c r="AG244" s="41">
        <v>0</v>
      </c>
      <c r="AI244" s="46"/>
    </row>
    <row r="245" spans="1:35" s="45" customFormat="1" ht="24" x14ac:dyDescent="0.25">
      <c r="A245" s="29">
        <v>243</v>
      </c>
      <c r="B245" s="29" t="s">
        <v>407</v>
      </c>
      <c r="C245" s="30" t="s">
        <v>407</v>
      </c>
      <c r="D245" s="30">
        <v>0</v>
      </c>
      <c r="E245" s="30">
        <v>0</v>
      </c>
      <c r="F245" s="29"/>
      <c r="G245" s="31" t="s">
        <v>408</v>
      </c>
      <c r="H245" s="32" t="s">
        <v>1034</v>
      </c>
      <c r="I245" s="30" t="s">
        <v>469</v>
      </c>
      <c r="J245" s="30"/>
      <c r="K245" s="30"/>
      <c r="L245" s="101" t="s">
        <v>1090</v>
      </c>
      <c r="M245" s="35"/>
      <c r="N245" s="35" t="s">
        <v>1091</v>
      </c>
      <c r="O245" s="37"/>
      <c r="P245" s="37" t="s">
        <v>415</v>
      </c>
      <c r="Q245" s="35" t="s">
        <v>1091</v>
      </c>
      <c r="R245" s="38">
        <v>0</v>
      </c>
      <c r="S245" s="39" t="s">
        <v>34</v>
      </c>
      <c r="T245" s="40"/>
      <c r="U245" s="40"/>
      <c r="V245" s="35"/>
      <c r="W245" s="40"/>
      <c r="X245" s="40"/>
      <c r="Y245" s="40"/>
      <c r="Z245" s="41"/>
      <c r="AA245" s="226"/>
      <c r="AB245" s="43"/>
      <c r="AC245" s="35"/>
      <c r="AD245" s="35"/>
      <c r="AE245" s="44"/>
      <c r="AF245" s="41" t="s">
        <v>445</v>
      </c>
      <c r="AG245" s="41">
        <v>0</v>
      </c>
      <c r="AI245" s="46"/>
    </row>
    <row r="246" spans="1:35" s="45" customFormat="1" ht="24" x14ac:dyDescent="0.25">
      <c r="A246" s="29">
        <v>244</v>
      </c>
      <c r="B246" s="29" t="s">
        <v>407</v>
      </c>
      <c r="C246" s="30" t="s">
        <v>407</v>
      </c>
      <c r="D246" s="30">
        <v>0</v>
      </c>
      <c r="E246" s="30">
        <v>0</v>
      </c>
      <c r="F246" s="30"/>
      <c r="G246" s="31" t="s">
        <v>408</v>
      </c>
      <c r="H246" s="32" t="s">
        <v>1034</v>
      </c>
      <c r="I246" s="30" t="s">
        <v>410</v>
      </c>
      <c r="J246" s="30"/>
      <c r="K246" s="30"/>
      <c r="L246" s="31" t="s">
        <v>1092</v>
      </c>
      <c r="M246" s="35" t="s">
        <v>412</v>
      </c>
      <c r="N246" s="35" t="s">
        <v>1093</v>
      </c>
      <c r="O246" s="37" t="s">
        <v>415</v>
      </c>
      <c r="P246" s="37" t="s">
        <v>415</v>
      </c>
      <c r="Q246" s="35" t="s">
        <v>1093</v>
      </c>
      <c r="R246" s="38">
        <v>0</v>
      </c>
      <c r="S246" s="39" t="s">
        <v>34</v>
      </c>
      <c r="T246" s="40"/>
      <c r="U246" s="40"/>
      <c r="V246" s="47"/>
      <c r="W246" s="30" t="s">
        <v>421</v>
      </c>
      <c r="X246" s="30"/>
      <c r="Y246" s="40"/>
      <c r="Z246" s="41"/>
      <c r="AA246" s="42"/>
      <c r="AB246" s="43"/>
      <c r="AC246" s="35"/>
      <c r="AD246" s="35"/>
      <c r="AE246" s="44"/>
      <c r="AF246" s="41" t="s">
        <v>445</v>
      </c>
      <c r="AG246" s="41">
        <v>0</v>
      </c>
      <c r="AI246" s="46"/>
    </row>
    <row r="247" spans="1:35" s="45" customFormat="1" ht="24" x14ac:dyDescent="0.25">
      <c r="A247" s="29">
        <v>245</v>
      </c>
      <c r="B247" s="29" t="s">
        <v>407</v>
      </c>
      <c r="C247" s="30" t="s">
        <v>407</v>
      </c>
      <c r="D247" s="30">
        <v>0</v>
      </c>
      <c r="E247" s="30">
        <v>0</v>
      </c>
      <c r="F247" s="29"/>
      <c r="G247" s="31" t="s">
        <v>408</v>
      </c>
      <c r="H247" s="32" t="s">
        <v>1034</v>
      </c>
      <c r="I247" s="30" t="s">
        <v>469</v>
      </c>
      <c r="J247" s="30"/>
      <c r="K247" s="30"/>
      <c r="L247" s="101" t="s">
        <v>1094</v>
      </c>
      <c r="M247" s="35"/>
      <c r="N247" s="35"/>
      <c r="O247" s="37"/>
      <c r="P247" s="37" t="s">
        <v>415</v>
      </c>
      <c r="Q247" s="35" t="s">
        <v>1095</v>
      </c>
      <c r="R247" s="38">
        <v>0</v>
      </c>
      <c r="S247" s="39" t="s">
        <v>34</v>
      </c>
      <c r="T247" s="40"/>
      <c r="U247" s="40"/>
      <c r="V247" s="35"/>
      <c r="W247" s="40"/>
      <c r="X247" s="40"/>
      <c r="Y247" s="40"/>
      <c r="Z247" s="41"/>
      <c r="AA247" s="226"/>
      <c r="AB247" s="43"/>
      <c r="AC247" s="35"/>
      <c r="AD247" s="35"/>
      <c r="AE247" s="44"/>
      <c r="AF247" s="41" t="s">
        <v>445</v>
      </c>
      <c r="AG247" s="41">
        <v>0</v>
      </c>
      <c r="AI247" s="46"/>
    </row>
    <row r="248" spans="1:35" s="45" customFormat="1" ht="24" x14ac:dyDescent="0.25">
      <c r="A248" s="29">
        <v>246</v>
      </c>
      <c r="B248" s="29" t="s">
        <v>407</v>
      </c>
      <c r="C248" s="30" t="s">
        <v>407</v>
      </c>
      <c r="D248" s="30">
        <v>0</v>
      </c>
      <c r="E248" s="30">
        <v>0</v>
      </c>
      <c r="F248" s="29"/>
      <c r="G248" s="31" t="s">
        <v>408</v>
      </c>
      <c r="H248" s="32" t="s">
        <v>1034</v>
      </c>
      <c r="I248" s="30" t="s">
        <v>469</v>
      </c>
      <c r="J248" s="30"/>
      <c r="K248" s="30"/>
      <c r="L248" s="101" t="s">
        <v>1096</v>
      </c>
      <c r="M248" s="35"/>
      <c r="N248" s="35">
        <v>635830</v>
      </c>
      <c r="O248" s="37"/>
      <c r="P248" s="37" t="s">
        <v>415</v>
      </c>
      <c r="Q248" s="35">
        <v>635830</v>
      </c>
      <c r="R248" s="38">
        <v>0</v>
      </c>
      <c r="S248" s="39" t="s">
        <v>34</v>
      </c>
      <c r="T248" s="40"/>
      <c r="U248" s="40"/>
      <c r="V248" s="35"/>
      <c r="W248" s="40"/>
      <c r="X248" s="40"/>
      <c r="Y248" s="40"/>
      <c r="Z248" s="41"/>
      <c r="AA248" s="226"/>
      <c r="AB248" s="43"/>
      <c r="AC248" s="35"/>
      <c r="AD248" s="35"/>
      <c r="AE248" s="44"/>
      <c r="AF248" s="41" t="s">
        <v>445</v>
      </c>
      <c r="AG248" s="41">
        <v>0</v>
      </c>
      <c r="AI248" s="46"/>
    </row>
    <row r="249" spans="1:35" s="45" customFormat="1" ht="24" x14ac:dyDescent="0.25">
      <c r="A249" s="29">
        <v>247</v>
      </c>
      <c r="B249" s="29" t="s">
        <v>407</v>
      </c>
      <c r="C249" s="30" t="s">
        <v>407</v>
      </c>
      <c r="D249" s="30">
        <v>0</v>
      </c>
      <c r="E249" s="30">
        <v>0</v>
      </c>
      <c r="F249" s="29"/>
      <c r="G249" s="31" t="s">
        <v>408</v>
      </c>
      <c r="H249" s="32" t="s">
        <v>1034</v>
      </c>
      <c r="I249" s="30" t="s">
        <v>469</v>
      </c>
      <c r="J249" s="30"/>
      <c r="K249" s="30"/>
      <c r="L249" s="101" t="s">
        <v>1097</v>
      </c>
      <c r="M249" s="35"/>
      <c r="N249" s="35" t="s">
        <v>1098</v>
      </c>
      <c r="O249" s="37" t="s">
        <v>415</v>
      </c>
      <c r="P249" s="37" t="s">
        <v>415</v>
      </c>
      <c r="Q249" s="35" t="s">
        <v>1098</v>
      </c>
      <c r="R249" s="38">
        <v>0</v>
      </c>
      <c r="S249" s="39" t="s">
        <v>34</v>
      </c>
      <c r="T249" s="40"/>
      <c r="U249" s="40"/>
      <c r="V249" s="35"/>
      <c r="W249" s="40"/>
      <c r="X249" s="40"/>
      <c r="Y249" s="40"/>
      <c r="Z249" s="41"/>
      <c r="AA249" s="226"/>
      <c r="AB249" s="43"/>
      <c r="AC249" s="35"/>
      <c r="AD249" s="35"/>
      <c r="AE249" s="44"/>
      <c r="AF249" s="41" t="s">
        <v>445</v>
      </c>
      <c r="AG249" s="41">
        <v>0</v>
      </c>
      <c r="AI249" s="46"/>
    </row>
    <row r="250" spans="1:35" s="45" customFormat="1" ht="24" x14ac:dyDescent="0.25">
      <c r="A250" s="29">
        <v>248</v>
      </c>
      <c r="B250" s="29" t="s">
        <v>407</v>
      </c>
      <c r="C250" s="30" t="s">
        <v>407</v>
      </c>
      <c r="D250" s="30">
        <v>0</v>
      </c>
      <c r="E250" s="30">
        <v>0</v>
      </c>
      <c r="F250" s="29"/>
      <c r="G250" s="31" t="s">
        <v>408</v>
      </c>
      <c r="H250" s="32" t="s">
        <v>1034</v>
      </c>
      <c r="I250" s="30" t="s">
        <v>469</v>
      </c>
      <c r="J250" s="30"/>
      <c r="K250" s="30"/>
      <c r="L250" s="101" t="s">
        <v>1099</v>
      </c>
      <c r="M250" s="35"/>
      <c r="N250" s="35" t="s">
        <v>1100</v>
      </c>
      <c r="O250" s="37"/>
      <c r="P250" s="37" t="s">
        <v>415</v>
      </c>
      <c r="Q250" s="35" t="s">
        <v>1100</v>
      </c>
      <c r="R250" s="38">
        <v>0</v>
      </c>
      <c r="S250" s="39" t="s">
        <v>34</v>
      </c>
      <c r="T250" s="40"/>
      <c r="U250" s="40"/>
      <c r="V250" s="35"/>
      <c r="W250" s="40"/>
      <c r="X250" s="40"/>
      <c r="Y250" s="40"/>
      <c r="Z250" s="41"/>
      <c r="AA250" s="226"/>
      <c r="AB250" s="43"/>
      <c r="AC250" s="35"/>
      <c r="AD250" s="35"/>
      <c r="AE250" s="44"/>
      <c r="AF250" s="41" t="s">
        <v>445</v>
      </c>
      <c r="AG250" s="41">
        <v>0</v>
      </c>
      <c r="AI250" s="46"/>
    </row>
    <row r="251" spans="1:35" s="45" customFormat="1" ht="24" x14ac:dyDescent="0.25">
      <c r="A251" s="29">
        <v>249</v>
      </c>
      <c r="B251" s="29" t="s">
        <v>407</v>
      </c>
      <c r="C251" s="30" t="s">
        <v>407</v>
      </c>
      <c r="D251" s="30">
        <v>0</v>
      </c>
      <c r="E251" s="30">
        <v>0</v>
      </c>
      <c r="F251" s="29"/>
      <c r="G251" s="31" t="s">
        <v>408</v>
      </c>
      <c r="H251" s="32" t="s">
        <v>1034</v>
      </c>
      <c r="I251" s="30" t="s">
        <v>469</v>
      </c>
      <c r="J251" s="30"/>
      <c r="K251" s="30"/>
      <c r="L251" s="101" t="s">
        <v>1101</v>
      </c>
      <c r="M251" s="35"/>
      <c r="N251" s="35" t="s">
        <v>1102</v>
      </c>
      <c r="O251" s="37"/>
      <c r="P251" s="37" t="s">
        <v>415</v>
      </c>
      <c r="Q251" s="35" t="s">
        <v>1102</v>
      </c>
      <c r="R251" s="38">
        <v>0</v>
      </c>
      <c r="S251" s="39" t="s">
        <v>34</v>
      </c>
      <c r="T251" s="40"/>
      <c r="U251" s="40"/>
      <c r="V251" s="35"/>
      <c r="W251" s="40"/>
      <c r="X251" s="40"/>
      <c r="Y251" s="40"/>
      <c r="Z251" s="41"/>
      <c r="AA251" s="226"/>
      <c r="AB251" s="43"/>
      <c r="AC251" s="35"/>
      <c r="AD251" s="35"/>
      <c r="AE251" s="44"/>
      <c r="AF251" s="41" t="s">
        <v>445</v>
      </c>
      <c r="AG251" s="41">
        <v>0</v>
      </c>
      <c r="AI251" s="46"/>
    </row>
    <row r="252" spans="1:35" s="45" customFormat="1" ht="24" x14ac:dyDescent="0.25">
      <c r="A252" s="29">
        <v>250</v>
      </c>
      <c r="B252" s="29" t="s">
        <v>407</v>
      </c>
      <c r="C252" s="30" t="s">
        <v>407</v>
      </c>
      <c r="D252" s="30">
        <v>0</v>
      </c>
      <c r="E252" s="30">
        <v>0</v>
      </c>
      <c r="F252" s="29"/>
      <c r="G252" s="31" t="s">
        <v>408</v>
      </c>
      <c r="H252" s="32" t="s">
        <v>1034</v>
      </c>
      <c r="I252" s="30" t="s">
        <v>469</v>
      </c>
      <c r="J252" s="30"/>
      <c r="K252" s="30"/>
      <c r="L252" s="101" t="s">
        <v>1103</v>
      </c>
      <c r="M252" s="35"/>
      <c r="N252" s="35" t="s">
        <v>1104</v>
      </c>
      <c r="O252" s="37"/>
      <c r="P252" s="37" t="s">
        <v>415</v>
      </c>
      <c r="Q252" s="35" t="s">
        <v>1104</v>
      </c>
      <c r="R252" s="38">
        <v>0</v>
      </c>
      <c r="S252" s="39" t="s">
        <v>34</v>
      </c>
      <c r="T252" s="40"/>
      <c r="U252" s="40"/>
      <c r="V252" s="35"/>
      <c r="W252" s="40"/>
      <c r="X252" s="40"/>
      <c r="Y252" s="40"/>
      <c r="Z252" s="41"/>
      <c r="AA252" s="226"/>
      <c r="AB252" s="43"/>
      <c r="AC252" s="35"/>
      <c r="AD252" s="35"/>
      <c r="AE252" s="44"/>
      <c r="AF252" s="41" t="s">
        <v>445</v>
      </c>
      <c r="AG252" s="41">
        <v>0</v>
      </c>
      <c r="AI252" s="46"/>
    </row>
    <row r="253" spans="1:35" s="45" customFormat="1" ht="24" x14ac:dyDescent="0.25">
      <c r="A253" s="29">
        <v>251</v>
      </c>
      <c r="B253" s="29" t="s">
        <v>407</v>
      </c>
      <c r="C253" s="30" t="s">
        <v>407</v>
      </c>
      <c r="D253" s="30">
        <v>0</v>
      </c>
      <c r="E253" s="30">
        <v>0</v>
      </c>
      <c r="F253" s="29"/>
      <c r="G253" s="31" t="s">
        <v>408</v>
      </c>
      <c r="H253" s="32" t="s">
        <v>1034</v>
      </c>
      <c r="I253" s="30" t="s">
        <v>469</v>
      </c>
      <c r="J253" s="30"/>
      <c r="K253" s="30"/>
      <c r="L253" s="101" t="s">
        <v>1105</v>
      </c>
      <c r="M253" s="35"/>
      <c r="N253" s="35" t="s">
        <v>1106</v>
      </c>
      <c r="O253" s="37"/>
      <c r="P253" s="37" t="s">
        <v>415</v>
      </c>
      <c r="Q253" s="35" t="s">
        <v>1106</v>
      </c>
      <c r="R253" s="38">
        <v>0</v>
      </c>
      <c r="S253" s="39" t="s">
        <v>34</v>
      </c>
      <c r="T253" s="40"/>
      <c r="U253" s="40"/>
      <c r="V253" s="35"/>
      <c r="W253" s="40"/>
      <c r="X253" s="40"/>
      <c r="Y253" s="40"/>
      <c r="Z253" s="41"/>
      <c r="AA253" s="226"/>
      <c r="AB253" s="43"/>
      <c r="AC253" s="35"/>
      <c r="AD253" s="35"/>
      <c r="AE253" s="44"/>
      <c r="AF253" s="41" t="s">
        <v>445</v>
      </c>
      <c r="AG253" s="41">
        <v>0</v>
      </c>
      <c r="AI253" s="46"/>
    </row>
    <row r="254" spans="1:35" s="45" customFormat="1" ht="24" x14ac:dyDescent="0.25">
      <c r="A254" s="29">
        <v>252</v>
      </c>
      <c r="B254" s="29" t="s">
        <v>407</v>
      </c>
      <c r="C254" s="30" t="s">
        <v>407</v>
      </c>
      <c r="D254" s="30">
        <v>0</v>
      </c>
      <c r="E254" s="30">
        <v>0</v>
      </c>
      <c r="F254" s="30"/>
      <c r="G254" s="31" t="s">
        <v>408</v>
      </c>
      <c r="H254" s="32" t="s">
        <v>1034</v>
      </c>
      <c r="I254" s="30" t="s">
        <v>410</v>
      </c>
      <c r="J254" s="30"/>
      <c r="K254" s="30" t="s">
        <v>1107</v>
      </c>
      <c r="L254" s="31" t="s">
        <v>1108</v>
      </c>
      <c r="M254" s="35" t="s">
        <v>412</v>
      </c>
      <c r="N254" s="35" t="s">
        <v>1109</v>
      </c>
      <c r="O254" s="37">
        <v>15175</v>
      </c>
      <c r="P254" s="37" t="s">
        <v>415</v>
      </c>
      <c r="Q254" s="35" t="s">
        <v>1109</v>
      </c>
      <c r="R254" s="38">
        <v>0</v>
      </c>
      <c r="S254" s="39" t="s">
        <v>34</v>
      </c>
      <c r="T254" s="40"/>
      <c r="U254" s="40"/>
      <c r="V254" s="35"/>
      <c r="W254" s="48"/>
      <c r="X254" s="40"/>
      <c r="Y254" s="40"/>
      <c r="Z254" s="41"/>
      <c r="AA254" s="42"/>
      <c r="AB254" s="43"/>
      <c r="AC254" s="35"/>
      <c r="AD254" s="35"/>
      <c r="AE254" s="44"/>
      <c r="AF254" s="41" t="s">
        <v>445</v>
      </c>
      <c r="AG254" s="41">
        <v>0</v>
      </c>
      <c r="AI254" s="46"/>
    </row>
    <row r="255" spans="1:35" s="45" customFormat="1" ht="24" x14ac:dyDescent="0.25">
      <c r="A255" s="29">
        <v>253</v>
      </c>
      <c r="B255" s="29" t="s">
        <v>407</v>
      </c>
      <c r="C255" s="30" t="s">
        <v>407</v>
      </c>
      <c r="D255" s="30">
        <v>0</v>
      </c>
      <c r="E255" s="30">
        <v>0</v>
      </c>
      <c r="F255" s="30"/>
      <c r="G255" s="31" t="s">
        <v>408</v>
      </c>
      <c r="H255" s="32" t="s">
        <v>1034</v>
      </c>
      <c r="I255" s="30" t="s">
        <v>410</v>
      </c>
      <c r="J255" s="30"/>
      <c r="K255" s="30" t="s">
        <v>1110</v>
      </c>
      <c r="L255" s="31" t="s">
        <v>1111</v>
      </c>
      <c r="M255" s="35" t="s">
        <v>412</v>
      </c>
      <c r="N255" s="35" t="s">
        <v>1112</v>
      </c>
      <c r="O255" s="37">
        <v>15175</v>
      </c>
      <c r="P255" s="37" t="s">
        <v>415</v>
      </c>
      <c r="Q255" s="35" t="s">
        <v>1112</v>
      </c>
      <c r="R255" s="38">
        <v>0</v>
      </c>
      <c r="S255" s="39" t="s">
        <v>34</v>
      </c>
      <c r="T255" s="40"/>
      <c r="U255" s="40"/>
      <c r="V255" s="35"/>
      <c r="W255" s="48"/>
      <c r="X255" s="40"/>
      <c r="Y255" s="40"/>
      <c r="Z255" s="41"/>
      <c r="AA255" s="42"/>
      <c r="AB255" s="43"/>
      <c r="AC255" s="35"/>
      <c r="AD255" s="35"/>
      <c r="AE255" s="44"/>
      <c r="AF255" s="41" t="s">
        <v>445</v>
      </c>
      <c r="AG255" s="41">
        <v>0</v>
      </c>
      <c r="AI255" s="46"/>
    </row>
    <row r="256" spans="1:35" s="45" customFormat="1" ht="24" x14ac:dyDescent="0.25">
      <c r="A256" s="29">
        <v>254</v>
      </c>
      <c r="B256" s="29" t="s">
        <v>407</v>
      </c>
      <c r="C256" s="30" t="s">
        <v>407</v>
      </c>
      <c r="D256" s="30">
        <v>0</v>
      </c>
      <c r="E256" s="30">
        <v>0</v>
      </c>
      <c r="F256" s="29"/>
      <c r="G256" s="31" t="s">
        <v>408</v>
      </c>
      <c r="H256" s="32" t="s">
        <v>1034</v>
      </c>
      <c r="I256" s="30" t="s">
        <v>469</v>
      </c>
      <c r="J256" s="30"/>
      <c r="K256" s="30"/>
      <c r="L256" s="101" t="s">
        <v>1113</v>
      </c>
      <c r="M256" s="35"/>
      <c r="N256" s="35" t="s">
        <v>470</v>
      </c>
      <c r="O256" s="37">
        <v>15175</v>
      </c>
      <c r="P256" s="37" t="s">
        <v>415</v>
      </c>
      <c r="Q256" s="35" t="s">
        <v>470</v>
      </c>
      <c r="R256" s="38">
        <v>0</v>
      </c>
      <c r="S256" s="39" t="s">
        <v>34</v>
      </c>
      <c r="T256" s="40"/>
      <c r="U256" s="40"/>
      <c r="V256" s="35"/>
      <c r="W256" s="40"/>
      <c r="X256" s="40"/>
      <c r="Y256" s="40"/>
      <c r="Z256" s="41"/>
      <c r="AA256" s="226"/>
      <c r="AB256" s="43"/>
      <c r="AC256" s="35"/>
      <c r="AD256" s="35"/>
      <c r="AE256" s="44"/>
      <c r="AF256" s="41" t="s">
        <v>445</v>
      </c>
      <c r="AG256" s="41">
        <v>0</v>
      </c>
      <c r="AI256" s="46"/>
    </row>
    <row r="257" spans="1:35" s="45" customFormat="1" ht="24" x14ac:dyDescent="0.25">
      <c r="A257" s="29">
        <v>255</v>
      </c>
      <c r="B257" s="29" t="s">
        <v>407</v>
      </c>
      <c r="C257" s="30" t="s">
        <v>407</v>
      </c>
      <c r="D257" s="30">
        <v>0</v>
      </c>
      <c r="E257" s="30">
        <v>0</v>
      </c>
      <c r="F257" s="29"/>
      <c r="G257" s="31" t="s">
        <v>408</v>
      </c>
      <c r="H257" s="32" t="s">
        <v>1034</v>
      </c>
      <c r="I257" s="30" t="s">
        <v>469</v>
      </c>
      <c r="J257" s="30"/>
      <c r="K257" s="30"/>
      <c r="L257" s="101" t="s">
        <v>1114</v>
      </c>
      <c r="M257" s="35"/>
      <c r="N257" s="35" t="s">
        <v>470</v>
      </c>
      <c r="O257" s="37">
        <v>15175</v>
      </c>
      <c r="P257" s="37" t="s">
        <v>415</v>
      </c>
      <c r="Q257" s="35" t="s">
        <v>470</v>
      </c>
      <c r="R257" s="38">
        <v>0</v>
      </c>
      <c r="S257" s="39" t="s">
        <v>34</v>
      </c>
      <c r="T257" s="40"/>
      <c r="U257" s="40"/>
      <c r="V257" s="35"/>
      <c r="W257" s="40"/>
      <c r="X257" s="40"/>
      <c r="Y257" s="40"/>
      <c r="Z257" s="41"/>
      <c r="AA257" s="226"/>
      <c r="AB257" s="43"/>
      <c r="AC257" s="35"/>
      <c r="AD257" s="35"/>
      <c r="AE257" s="44"/>
      <c r="AF257" s="41" t="s">
        <v>445</v>
      </c>
      <c r="AG257" s="41">
        <v>0</v>
      </c>
      <c r="AI257" s="46"/>
    </row>
    <row r="258" spans="1:35" s="45" customFormat="1" ht="24" x14ac:dyDescent="0.25">
      <c r="A258" s="29">
        <v>256</v>
      </c>
      <c r="B258" s="29" t="s">
        <v>407</v>
      </c>
      <c r="C258" s="30" t="s">
        <v>407</v>
      </c>
      <c r="D258" s="30">
        <v>0</v>
      </c>
      <c r="E258" s="30">
        <v>0</v>
      </c>
      <c r="F258" s="29"/>
      <c r="G258" s="31" t="s">
        <v>408</v>
      </c>
      <c r="H258" s="32" t="s">
        <v>1034</v>
      </c>
      <c r="I258" s="30" t="s">
        <v>469</v>
      </c>
      <c r="J258" s="30"/>
      <c r="K258" s="30"/>
      <c r="L258" s="101" t="s">
        <v>1115</v>
      </c>
      <c r="M258" s="35"/>
      <c r="N258" s="35" t="s">
        <v>1116</v>
      </c>
      <c r="O258" s="37" t="s">
        <v>415</v>
      </c>
      <c r="P258" s="37" t="s">
        <v>415</v>
      </c>
      <c r="Q258" s="35" t="s">
        <v>1116</v>
      </c>
      <c r="R258" s="38">
        <v>0</v>
      </c>
      <c r="S258" s="39" t="s">
        <v>34</v>
      </c>
      <c r="T258" s="40"/>
      <c r="U258" s="40"/>
      <c r="V258" s="35"/>
      <c r="W258" s="40"/>
      <c r="X258" s="40"/>
      <c r="Y258" s="40"/>
      <c r="Z258" s="41"/>
      <c r="AA258" s="226"/>
      <c r="AB258" s="43"/>
      <c r="AC258" s="35"/>
      <c r="AD258" s="35"/>
      <c r="AE258" s="44"/>
      <c r="AF258" s="41" t="s">
        <v>445</v>
      </c>
      <c r="AG258" s="41">
        <v>0</v>
      </c>
      <c r="AI258" s="46"/>
    </row>
    <row r="259" spans="1:35" s="45" customFormat="1" ht="24" x14ac:dyDescent="0.25">
      <c r="A259" s="29">
        <v>257</v>
      </c>
      <c r="B259" s="29" t="s">
        <v>407</v>
      </c>
      <c r="C259" s="30" t="s">
        <v>407</v>
      </c>
      <c r="D259" s="30">
        <v>0</v>
      </c>
      <c r="E259" s="30">
        <v>0</v>
      </c>
      <c r="F259" s="29"/>
      <c r="G259" s="31" t="s">
        <v>408</v>
      </c>
      <c r="H259" s="32" t="s">
        <v>1034</v>
      </c>
      <c r="I259" s="30" t="s">
        <v>469</v>
      </c>
      <c r="J259" s="30"/>
      <c r="K259" s="30"/>
      <c r="L259" s="101" t="s">
        <v>1117</v>
      </c>
      <c r="M259" s="35"/>
      <c r="N259" s="35" t="s">
        <v>1118</v>
      </c>
      <c r="O259" s="37"/>
      <c r="P259" s="37" t="s">
        <v>415</v>
      </c>
      <c r="Q259" s="35" t="s">
        <v>1118</v>
      </c>
      <c r="R259" s="38">
        <v>0</v>
      </c>
      <c r="S259" s="39" t="s">
        <v>34</v>
      </c>
      <c r="T259" s="40"/>
      <c r="U259" s="40"/>
      <c r="V259" s="35"/>
      <c r="W259" s="40"/>
      <c r="X259" s="40"/>
      <c r="Y259" s="40"/>
      <c r="Z259" s="41"/>
      <c r="AA259" s="226"/>
      <c r="AB259" s="43"/>
      <c r="AC259" s="35"/>
      <c r="AD259" s="35"/>
      <c r="AE259" s="44"/>
      <c r="AF259" s="41" t="s">
        <v>445</v>
      </c>
      <c r="AG259" s="41">
        <v>0</v>
      </c>
      <c r="AI259" s="46"/>
    </row>
    <row r="260" spans="1:35" s="45" customFormat="1" ht="24" x14ac:dyDescent="0.25">
      <c r="A260" s="29">
        <v>258</v>
      </c>
      <c r="B260" s="29" t="s">
        <v>407</v>
      </c>
      <c r="C260" s="30" t="s">
        <v>407</v>
      </c>
      <c r="D260" s="30">
        <v>0</v>
      </c>
      <c r="E260" s="30">
        <v>0</v>
      </c>
      <c r="F260" s="29"/>
      <c r="G260" s="31" t="s">
        <v>408</v>
      </c>
      <c r="H260" s="32" t="s">
        <v>1034</v>
      </c>
      <c r="I260" s="30" t="s">
        <v>469</v>
      </c>
      <c r="J260" s="30"/>
      <c r="K260" s="30"/>
      <c r="L260" s="101" t="s">
        <v>1119</v>
      </c>
      <c r="M260" s="35"/>
      <c r="N260" s="35" t="s">
        <v>1120</v>
      </c>
      <c r="O260" s="37"/>
      <c r="P260" s="37" t="s">
        <v>415</v>
      </c>
      <c r="Q260" s="35" t="s">
        <v>1120</v>
      </c>
      <c r="R260" s="38">
        <v>0</v>
      </c>
      <c r="S260" s="39" t="s">
        <v>34</v>
      </c>
      <c r="T260" s="40"/>
      <c r="U260" s="40"/>
      <c r="V260" s="35"/>
      <c r="W260" s="40"/>
      <c r="X260" s="40"/>
      <c r="Y260" s="40"/>
      <c r="Z260" s="41"/>
      <c r="AA260" s="226"/>
      <c r="AB260" s="43"/>
      <c r="AC260" s="35"/>
      <c r="AD260" s="35"/>
      <c r="AE260" s="44"/>
      <c r="AF260" s="41" t="s">
        <v>445</v>
      </c>
      <c r="AG260" s="41">
        <v>0</v>
      </c>
      <c r="AI260" s="46"/>
    </row>
    <row r="261" spans="1:35" s="45" customFormat="1" ht="24" x14ac:dyDescent="0.25">
      <c r="A261" s="29">
        <v>259</v>
      </c>
      <c r="B261" s="29" t="s">
        <v>407</v>
      </c>
      <c r="C261" s="30" t="s">
        <v>407</v>
      </c>
      <c r="D261" s="30">
        <v>0</v>
      </c>
      <c r="E261" s="30">
        <v>0</v>
      </c>
      <c r="F261" s="29"/>
      <c r="G261" s="31" t="s">
        <v>408</v>
      </c>
      <c r="H261" s="32" t="s">
        <v>1034</v>
      </c>
      <c r="I261" s="30" t="s">
        <v>469</v>
      </c>
      <c r="J261" s="30"/>
      <c r="K261" s="30"/>
      <c r="L261" s="101" t="s">
        <v>1121</v>
      </c>
      <c r="M261" s="35"/>
      <c r="N261" s="35" t="s">
        <v>1122</v>
      </c>
      <c r="O261" s="37"/>
      <c r="P261" s="37" t="s">
        <v>415</v>
      </c>
      <c r="Q261" s="35" t="s">
        <v>1122</v>
      </c>
      <c r="R261" s="38">
        <v>0</v>
      </c>
      <c r="S261" s="39" t="s">
        <v>34</v>
      </c>
      <c r="T261" s="40"/>
      <c r="U261" s="40"/>
      <c r="V261" s="35"/>
      <c r="W261" s="40"/>
      <c r="X261" s="40"/>
      <c r="Y261" s="40"/>
      <c r="Z261" s="41"/>
      <c r="AA261" s="226"/>
      <c r="AB261" s="43"/>
      <c r="AC261" s="35"/>
      <c r="AD261" s="35"/>
      <c r="AE261" s="44"/>
      <c r="AF261" s="41" t="s">
        <v>445</v>
      </c>
      <c r="AG261" s="41">
        <v>0</v>
      </c>
      <c r="AI261" s="46"/>
    </row>
    <row r="262" spans="1:35" s="45" customFormat="1" ht="24" x14ac:dyDescent="0.25">
      <c r="A262" s="29">
        <v>260</v>
      </c>
      <c r="B262" s="29" t="s">
        <v>407</v>
      </c>
      <c r="C262" s="30" t="s">
        <v>407</v>
      </c>
      <c r="D262" s="30">
        <v>0</v>
      </c>
      <c r="E262" s="30">
        <v>0</v>
      </c>
      <c r="F262" s="29"/>
      <c r="G262" s="31" t="s">
        <v>408</v>
      </c>
      <c r="H262" s="32" t="s">
        <v>1034</v>
      </c>
      <c r="I262" s="30" t="s">
        <v>469</v>
      </c>
      <c r="J262" s="30"/>
      <c r="K262" s="30"/>
      <c r="L262" s="101" t="s">
        <v>1123</v>
      </c>
      <c r="M262" s="35"/>
      <c r="N262" s="35">
        <v>15664400</v>
      </c>
      <c r="O262" s="37"/>
      <c r="P262" s="37" t="s">
        <v>415</v>
      </c>
      <c r="Q262" s="35">
        <v>15664400</v>
      </c>
      <c r="R262" s="38">
        <v>0</v>
      </c>
      <c r="S262" s="39" t="s">
        <v>34</v>
      </c>
      <c r="T262" s="40"/>
      <c r="U262" s="40"/>
      <c r="V262" s="35"/>
      <c r="W262" s="40"/>
      <c r="X262" s="40"/>
      <c r="Y262" s="40"/>
      <c r="Z262" s="41"/>
      <c r="AA262" s="226"/>
      <c r="AB262" s="43"/>
      <c r="AC262" s="35"/>
      <c r="AD262" s="35"/>
      <c r="AE262" s="44"/>
      <c r="AF262" s="41" t="s">
        <v>445</v>
      </c>
      <c r="AG262" s="41">
        <v>0</v>
      </c>
      <c r="AI262" s="46"/>
    </row>
    <row r="263" spans="1:35" s="45" customFormat="1" ht="24" x14ac:dyDescent="0.25">
      <c r="A263" s="29">
        <v>261</v>
      </c>
      <c r="B263" s="29" t="s">
        <v>407</v>
      </c>
      <c r="C263" s="30" t="s">
        <v>407</v>
      </c>
      <c r="D263" s="30">
        <v>0</v>
      </c>
      <c r="E263" s="30">
        <v>0</v>
      </c>
      <c r="F263" s="29"/>
      <c r="G263" s="31" t="s">
        <v>408</v>
      </c>
      <c r="H263" s="32" t="s">
        <v>1034</v>
      </c>
      <c r="I263" s="30" t="s">
        <v>469</v>
      </c>
      <c r="J263" s="30"/>
      <c r="K263" s="30"/>
      <c r="L263" s="101" t="s">
        <v>1124</v>
      </c>
      <c r="M263" s="35"/>
      <c r="N263" s="35" t="s">
        <v>1125</v>
      </c>
      <c r="O263" s="37"/>
      <c r="P263" s="37" t="s">
        <v>415</v>
      </c>
      <c r="Q263" s="35" t="s">
        <v>1125</v>
      </c>
      <c r="R263" s="38">
        <v>0</v>
      </c>
      <c r="S263" s="39" t="s">
        <v>34</v>
      </c>
      <c r="T263" s="40"/>
      <c r="U263" s="40"/>
      <c r="V263" s="35"/>
      <c r="W263" s="40"/>
      <c r="X263" s="40"/>
      <c r="Y263" s="40"/>
      <c r="Z263" s="41"/>
      <c r="AA263" s="226"/>
      <c r="AB263" s="43"/>
      <c r="AC263" s="35"/>
      <c r="AD263" s="35"/>
      <c r="AE263" s="44"/>
      <c r="AF263" s="41" t="s">
        <v>445</v>
      </c>
      <c r="AG263" s="41">
        <v>0</v>
      </c>
      <c r="AI263" s="46"/>
    </row>
    <row r="264" spans="1:35" s="45" customFormat="1" ht="24" x14ac:dyDescent="0.25">
      <c r="A264" s="29">
        <v>262</v>
      </c>
      <c r="B264" s="29" t="s">
        <v>407</v>
      </c>
      <c r="C264" s="30" t="s">
        <v>407</v>
      </c>
      <c r="D264" s="30">
        <v>0</v>
      </c>
      <c r="E264" s="30">
        <v>0</v>
      </c>
      <c r="F264" s="29"/>
      <c r="G264" s="31" t="s">
        <v>408</v>
      </c>
      <c r="H264" s="32" t="s">
        <v>1034</v>
      </c>
      <c r="I264" s="30" t="s">
        <v>469</v>
      </c>
      <c r="J264" s="30"/>
      <c r="K264" s="30"/>
      <c r="L264" s="101" t="s">
        <v>1126</v>
      </c>
      <c r="M264" s="35"/>
      <c r="N264" s="35" t="s">
        <v>1127</v>
      </c>
      <c r="O264" s="37"/>
      <c r="P264" s="37" t="s">
        <v>415</v>
      </c>
      <c r="Q264" s="35" t="s">
        <v>1127</v>
      </c>
      <c r="R264" s="38">
        <v>0</v>
      </c>
      <c r="S264" s="39" t="s">
        <v>34</v>
      </c>
      <c r="T264" s="40"/>
      <c r="U264" s="40"/>
      <c r="V264" s="35"/>
      <c r="W264" s="40"/>
      <c r="X264" s="40"/>
      <c r="Y264" s="40"/>
      <c r="Z264" s="41"/>
      <c r="AA264" s="226"/>
      <c r="AB264" s="43"/>
      <c r="AC264" s="35"/>
      <c r="AD264" s="35"/>
      <c r="AE264" s="44"/>
      <c r="AF264" s="41" t="s">
        <v>445</v>
      </c>
      <c r="AG264" s="41">
        <v>0</v>
      </c>
      <c r="AI264" s="46"/>
    </row>
    <row r="265" spans="1:35" s="45" customFormat="1" ht="24" x14ac:dyDescent="0.25">
      <c r="A265" s="29">
        <v>263</v>
      </c>
      <c r="B265" s="29" t="s">
        <v>407</v>
      </c>
      <c r="C265" s="30" t="s">
        <v>407</v>
      </c>
      <c r="D265" s="30">
        <v>0</v>
      </c>
      <c r="E265" s="30">
        <v>0</v>
      </c>
      <c r="F265" s="29"/>
      <c r="G265" s="31" t="s">
        <v>408</v>
      </c>
      <c r="H265" s="32" t="s">
        <v>1034</v>
      </c>
      <c r="I265" s="30" t="s">
        <v>469</v>
      </c>
      <c r="J265" s="30"/>
      <c r="K265" s="30"/>
      <c r="L265" s="101" t="s">
        <v>1128</v>
      </c>
      <c r="M265" s="35"/>
      <c r="N265" s="35">
        <v>119900</v>
      </c>
      <c r="O265" s="37"/>
      <c r="P265" s="37" t="s">
        <v>415</v>
      </c>
      <c r="Q265" s="35">
        <v>119900</v>
      </c>
      <c r="R265" s="38">
        <v>0</v>
      </c>
      <c r="S265" s="39" t="s">
        <v>34</v>
      </c>
      <c r="T265" s="40"/>
      <c r="U265" s="40"/>
      <c r="V265" s="35"/>
      <c r="W265" s="40"/>
      <c r="X265" s="40"/>
      <c r="Y265" s="40"/>
      <c r="Z265" s="41"/>
      <c r="AA265" s="226"/>
      <c r="AB265" s="43"/>
      <c r="AC265" s="35"/>
      <c r="AD265" s="35"/>
      <c r="AE265" s="44"/>
      <c r="AF265" s="41" t="s">
        <v>445</v>
      </c>
      <c r="AG265" s="41">
        <v>0</v>
      </c>
      <c r="AI265" s="46"/>
    </row>
    <row r="266" spans="1:35" s="45" customFormat="1" ht="24" x14ac:dyDescent="0.25">
      <c r="A266" s="29">
        <v>264</v>
      </c>
      <c r="B266" s="29" t="s">
        <v>407</v>
      </c>
      <c r="C266" s="30" t="s">
        <v>407</v>
      </c>
      <c r="D266" s="30">
        <v>0</v>
      </c>
      <c r="E266" s="30">
        <v>0</v>
      </c>
      <c r="F266" s="29"/>
      <c r="G266" s="31" t="s">
        <v>408</v>
      </c>
      <c r="H266" s="32" t="s">
        <v>1034</v>
      </c>
      <c r="I266" s="30" t="s">
        <v>469</v>
      </c>
      <c r="J266" s="30"/>
      <c r="K266" s="30"/>
      <c r="L266" s="101" t="s">
        <v>1129</v>
      </c>
      <c r="M266" s="35"/>
      <c r="N266" s="35" t="s">
        <v>1130</v>
      </c>
      <c r="O266" s="37" t="s">
        <v>415</v>
      </c>
      <c r="P266" s="37" t="s">
        <v>415</v>
      </c>
      <c r="Q266" s="35" t="s">
        <v>1130</v>
      </c>
      <c r="R266" s="38">
        <v>0</v>
      </c>
      <c r="S266" s="39" t="s">
        <v>34</v>
      </c>
      <c r="T266" s="40"/>
      <c r="U266" s="40"/>
      <c r="V266" s="35"/>
      <c r="W266" s="40"/>
      <c r="X266" s="40"/>
      <c r="Y266" s="40"/>
      <c r="Z266" s="41"/>
      <c r="AA266" s="226"/>
      <c r="AB266" s="43"/>
      <c r="AC266" s="35"/>
      <c r="AD266" s="35"/>
      <c r="AE266" s="44"/>
      <c r="AF266" s="41" t="s">
        <v>445</v>
      </c>
      <c r="AG266" s="41">
        <v>0</v>
      </c>
      <c r="AI266" s="46"/>
    </row>
    <row r="267" spans="1:35" s="45" customFormat="1" ht="24" x14ac:dyDescent="0.25">
      <c r="A267" s="29">
        <v>265</v>
      </c>
      <c r="B267" s="29" t="s">
        <v>407</v>
      </c>
      <c r="C267" s="30" t="s">
        <v>407</v>
      </c>
      <c r="D267" s="30">
        <v>0</v>
      </c>
      <c r="E267" s="30">
        <v>0</v>
      </c>
      <c r="F267" s="29"/>
      <c r="G267" s="31" t="s">
        <v>408</v>
      </c>
      <c r="H267" s="32" t="s">
        <v>1034</v>
      </c>
      <c r="I267" s="30" t="s">
        <v>469</v>
      </c>
      <c r="J267" s="30"/>
      <c r="K267" s="30"/>
      <c r="L267" s="101" t="s">
        <v>1131</v>
      </c>
      <c r="M267" s="35"/>
      <c r="N267" s="35">
        <v>117350</v>
      </c>
      <c r="O267" s="37"/>
      <c r="P267" s="37" t="s">
        <v>415</v>
      </c>
      <c r="Q267" s="35">
        <v>117350</v>
      </c>
      <c r="R267" s="38">
        <v>0</v>
      </c>
      <c r="S267" s="39" t="s">
        <v>34</v>
      </c>
      <c r="T267" s="40"/>
      <c r="U267" s="40"/>
      <c r="V267" s="35"/>
      <c r="W267" s="40"/>
      <c r="X267" s="40"/>
      <c r="Y267" s="40"/>
      <c r="Z267" s="41"/>
      <c r="AA267" s="226"/>
      <c r="AB267" s="43"/>
      <c r="AC267" s="35"/>
      <c r="AD267" s="35"/>
      <c r="AE267" s="44"/>
      <c r="AF267" s="41" t="s">
        <v>445</v>
      </c>
      <c r="AG267" s="41">
        <v>0</v>
      </c>
      <c r="AI267" s="46"/>
    </row>
    <row r="268" spans="1:35" s="45" customFormat="1" ht="24" x14ac:dyDescent="0.25">
      <c r="A268" s="29">
        <v>266</v>
      </c>
      <c r="B268" s="29" t="s">
        <v>407</v>
      </c>
      <c r="C268" s="30" t="s">
        <v>407</v>
      </c>
      <c r="D268" s="30">
        <v>0</v>
      </c>
      <c r="E268" s="30">
        <v>0</v>
      </c>
      <c r="F268" s="30"/>
      <c r="G268" s="31" t="s">
        <v>408</v>
      </c>
      <c r="H268" s="32" t="s">
        <v>1034</v>
      </c>
      <c r="I268" s="30" t="s">
        <v>410</v>
      </c>
      <c r="J268" s="30"/>
      <c r="K268" s="30"/>
      <c r="L268" s="31" t="s">
        <v>1132</v>
      </c>
      <c r="M268" s="35" t="s">
        <v>412</v>
      </c>
      <c r="N268" s="35" t="s">
        <v>1133</v>
      </c>
      <c r="O268" s="37">
        <v>15175</v>
      </c>
      <c r="P268" s="37" t="s">
        <v>415</v>
      </c>
      <c r="Q268" s="35" t="s">
        <v>1133</v>
      </c>
      <c r="R268" s="38">
        <v>0</v>
      </c>
      <c r="S268" s="39" t="s">
        <v>34</v>
      </c>
      <c r="T268" s="40"/>
      <c r="U268" s="40"/>
      <c r="V268" s="35"/>
      <c r="W268" s="48"/>
      <c r="X268" s="40"/>
      <c r="Y268" s="40"/>
      <c r="Z268" s="41"/>
      <c r="AA268" s="42"/>
      <c r="AB268" s="43"/>
      <c r="AC268" s="35"/>
      <c r="AD268" s="35"/>
      <c r="AE268" s="44"/>
      <c r="AF268" s="41" t="s">
        <v>445</v>
      </c>
      <c r="AG268" s="41">
        <v>0</v>
      </c>
      <c r="AI268" s="46"/>
    </row>
    <row r="269" spans="1:35" s="45" customFormat="1" ht="24" x14ac:dyDescent="0.25">
      <c r="A269" s="29">
        <v>267</v>
      </c>
      <c r="B269" s="29" t="s">
        <v>407</v>
      </c>
      <c r="C269" s="30" t="s">
        <v>407</v>
      </c>
      <c r="D269" s="30">
        <v>0</v>
      </c>
      <c r="E269" s="30">
        <v>0</v>
      </c>
      <c r="F269" s="30"/>
      <c r="G269" s="31" t="s">
        <v>408</v>
      </c>
      <c r="H269" s="32" t="s">
        <v>1034</v>
      </c>
      <c r="I269" s="30" t="s">
        <v>410</v>
      </c>
      <c r="J269" s="30"/>
      <c r="K269" s="30" t="s">
        <v>1110</v>
      </c>
      <c r="L269" s="31" t="s">
        <v>1111</v>
      </c>
      <c r="M269" s="35" t="s">
        <v>412</v>
      </c>
      <c r="N269" s="35" t="s">
        <v>1112</v>
      </c>
      <c r="O269" s="37">
        <v>15175</v>
      </c>
      <c r="P269" s="37" t="s">
        <v>415</v>
      </c>
      <c r="Q269" s="35" t="s">
        <v>1112</v>
      </c>
      <c r="R269" s="38">
        <v>0</v>
      </c>
      <c r="S269" s="39" t="s">
        <v>34</v>
      </c>
      <c r="T269" s="40"/>
      <c r="U269" s="40"/>
      <c r="V269" s="35"/>
      <c r="W269" s="48"/>
      <c r="X269" s="40"/>
      <c r="Y269" s="40"/>
      <c r="Z269" s="41"/>
      <c r="AA269" s="42"/>
      <c r="AB269" s="43"/>
      <c r="AC269" s="35"/>
      <c r="AD269" s="35"/>
      <c r="AE269" s="44"/>
      <c r="AF269" s="41" t="s">
        <v>445</v>
      </c>
      <c r="AG269" s="41">
        <v>0</v>
      </c>
      <c r="AI269" s="46"/>
    </row>
    <row r="270" spans="1:35" s="45" customFormat="1" ht="24" x14ac:dyDescent="0.25">
      <c r="A270" s="29">
        <v>268</v>
      </c>
      <c r="B270" s="29" t="s">
        <v>407</v>
      </c>
      <c r="C270" s="30" t="s">
        <v>407</v>
      </c>
      <c r="D270" s="30">
        <v>0</v>
      </c>
      <c r="E270" s="30">
        <v>0</v>
      </c>
      <c r="F270" s="29"/>
      <c r="G270" s="31" t="s">
        <v>408</v>
      </c>
      <c r="H270" s="32" t="s">
        <v>1034</v>
      </c>
      <c r="I270" s="30" t="s">
        <v>469</v>
      </c>
      <c r="J270" s="30"/>
      <c r="K270" s="30"/>
      <c r="L270" s="101" t="s">
        <v>1134</v>
      </c>
      <c r="M270" s="35"/>
      <c r="N270" s="35" t="s">
        <v>1135</v>
      </c>
      <c r="O270" s="37">
        <v>15175</v>
      </c>
      <c r="P270" s="37" t="s">
        <v>415</v>
      </c>
      <c r="Q270" s="35" t="s">
        <v>1135</v>
      </c>
      <c r="R270" s="38">
        <v>0</v>
      </c>
      <c r="S270" s="39" t="s">
        <v>34</v>
      </c>
      <c r="T270" s="40"/>
      <c r="U270" s="40"/>
      <c r="V270" s="35"/>
      <c r="W270" s="40"/>
      <c r="X270" s="40"/>
      <c r="Y270" s="40"/>
      <c r="Z270" s="41"/>
      <c r="AA270" s="226"/>
      <c r="AB270" s="43"/>
      <c r="AC270" s="35"/>
      <c r="AD270" s="35"/>
      <c r="AE270" s="44"/>
      <c r="AF270" s="41" t="s">
        <v>445</v>
      </c>
      <c r="AG270" s="41">
        <v>0</v>
      </c>
      <c r="AI270" s="46"/>
    </row>
    <row r="271" spans="1:35" s="45" customFormat="1" ht="24" x14ac:dyDescent="0.25">
      <c r="A271" s="29">
        <v>269</v>
      </c>
      <c r="B271" s="29" t="s">
        <v>407</v>
      </c>
      <c r="C271" s="30" t="s">
        <v>407</v>
      </c>
      <c r="D271" s="30">
        <v>0</v>
      </c>
      <c r="E271" s="30">
        <v>0</v>
      </c>
      <c r="F271" s="29"/>
      <c r="G271" s="31" t="s">
        <v>408</v>
      </c>
      <c r="H271" s="32" t="s">
        <v>1034</v>
      </c>
      <c r="I271" s="30" t="s">
        <v>469</v>
      </c>
      <c r="J271" s="30"/>
      <c r="K271" s="30"/>
      <c r="L271" s="101" t="s">
        <v>1136</v>
      </c>
      <c r="M271" s="35"/>
      <c r="N271" s="35" t="s">
        <v>1116</v>
      </c>
      <c r="O271" s="37" t="s">
        <v>415</v>
      </c>
      <c r="P271" s="37" t="s">
        <v>415</v>
      </c>
      <c r="Q271" s="35" t="s">
        <v>1116</v>
      </c>
      <c r="R271" s="38">
        <v>0</v>
      </c>
      <c r="S271" s="39" t="s">
        <v>34</v>
      </c>
      <c r="T271" s="40"/>
      <c r="U271" s="40"/>
      <c r="V271" s="35"/>
      <c r="W271" s="40"/>
      <c r="X271" s="40"/>
      <c r="Y271" s="40"/>
      <c r="Z271" s="41"/>
      <c r="AA271" s="226"/>
      <c r="AB271" s="43"/>
      <c r="AC271" s="35"/>
      <c r="AD271" s="35"/>
      <c r="AE271" s="44"/>
      <c r="AF271" s="41" t="s">
        <v>445</v>
      </c>
      <c r="AG271" s="41">
        <v>0</v>
      </c>
      <c r="AI271" s="46"/>
    </row>
    <row r="272" spans="1:35" s="45" customFormat="1" ht="24" x14ac:dyDescent="0.25">
      <c r="A272" s="29">
        <v>270</v>
      </c>
      <c r="B272" s="29" t="s">
        <v>407</v>
      </c>
      <c r="C272" s="30" t="s">
        <v>407</v>
      </c>
      <c r="D272" s="30">
        <v>0</v>
      </c>
      <c r="E272" s="30">
        <v>0</v>
      </c>
      <c r="F272" s="29"/>
      <c r="G272" s="31" t="s">
        <v>408</v>
      </c>
      <c r="H272" s="32" t="s">
        <v>1034</v>
      </c>
      <c r="I272" s="30" t="s">
        <v>469</v>
      </c>
      <c r="J272" s="30"/>
      <c r="K272" s="30"/>
      <c r="L272" s="101" t="s">
        <v>1117</v>
      </c>
      <c r="M272" s="35"/>
      <c r="N272" s="35" t="s">
        <v>1118</v>
      </c>
      <c r="O272" s="37"/>
      <c r="P272" s="37" t="s">
        <v>415</v>
      </c>
      <c r="Q272" s="35" t="s">
        <v>1118</v>
      </c>
      <c r="R272" s="38">
        <v>0</v>
      </c>
      <c r="S272" s="39" t="s">
        <v>34</v>
      </c>
      <c r="T272" s="40"/>
      <c r="U272" s="40"/>
      <c r="V272" s="35"/>
      <c r="W272" s="40"/>
      <c r="X272" s="40"/>
      <c r="Y272" s="40"/>
      <c r="Z272" s="41"/>
      <c r="AA272" s="226"/>
      <c r="AB272" s="43"/>
      <c r="AC272" s="35"/>
      <c r="AD272" s="35"/>
      <c r="AE272" s="44"/>
      <c r="AF272" s="41" t="s">
        <v>445</v>
      </c>
      <c r="AG272" s="41">
        <v>0</v>
      </c>
      <c r="AI272" s="46"/>
    </row>
    <row r="273" spans="1:35" s="45" customFormat="1" ht="24" x14ac:dyDescent="0.25">
      <c r="A273" s="29">
        <v>271</v>
      </c>
      <c r="B273" s="29" t="s">
        <v>407</v>
      </c>
      <c r="C273" s="29" t="s">
        <v>407</v>
      </c>
      <c r="D273" s="30">
        <v>0</v>
      </c>
      <c r="E273" s="30">
        <v>0</v>
      </c>
      <c r="F273" s="29"/>
      <c r="G273" s="31" t="s">
        <v>408</v>
      </c>
      <c r="H273" s="228" t="s">
        <v>1137</v>
      </c>
      <c r="I273" s="29" t="s">
        <v>410</v>
      </c>
      <c r="J273" s="29" t="s">
        <v>569</v>
      </c>
      <c r="K273" s="29"/>
      <c r="L273" s="228" t="s">
        <v>1138</v>
      </c>
      <c r="M273" s="35" t="s">
        <v>412</v>
      </c>
      <c r="N273" s="35" t="s">
        <v>1139</v>
      </c>
      <c r="O273" s="37">
        <v>65442</v>
      </c>
      <c r="P273" s="37" t="s">
        <v>415</v>
      </c>
      <c r="Q273" s="35" t="s">
        <v>1140</v>
      </c>
      <c r="R273" s="38">
        <v>0</v>
      </c>
      <c r="S273" s="39" t="s">
        <v>34</v>
      </c>
      <c r="T273" s="40"/>
      <c r="U273" s="40"/>
      <c r="V273" s="35"/>
      <c r="W273" s="48"/>
      <c r="X273" s="40"/>
      <c r="Y273" s="40"/>
      <c r="Z273" s="41" t="s">
        <v>422</v>
      </c>
      <c r="AA273" s="50">
        <v>305</v>
      </c>
      <c r="AB273" s="43" t="s">
        <v>424</v>
      </c>
      <c r="AC273" s="35"/>
      <c r="AD273" s="35"/>
      <c r="AE273" s="44"/>
      <c r="AF273" s="41" t="s">
        <v>445</v>
      </c>
      <c r="AG273" s="41">
        <v>0</v>
      </c>
      <c r="AI273" s="46"/>
    </row>
    <row r="274" spans="1:35" s="45" customFormat="1" ht="24" x14ac:dyDescent="0.25">
      <c r="A274" s="29">
        <v>272</v>
      </c>
      <c r="B274" s="29" t="s">
        <v>407</v>
      </c>
      <c r="C274" s="229" t="s">
        <v>407</v>
      </c>
      <c r="D274" s="30">
        <v>0</v>
      </c>
      <c r="E274" s="30">
        <v>0</v>
      </c>
      <c r="F274" s="229"/>
      <c r="G274" s="31" t="s">
        <v>408</v>
      </c>
      <c r="H274" s="228" t="s">
        <v>1137</v>
      </c>
      <c r="I274" s="229" t="s">
        <v>469</v>
      </c>
      <c r="J274" s="229"/>
      <c r="K274" s="229"/>
      <c r="L274" s="230" t="s">
        <v>1141</v>
      </c>
      <c r="M274" s="35"/>
      <c r="N274" s="35" t="s">
        <v>1142</v>
      </c>
      <c r="O274" s="37"/>
      <c r="P274" s="37"/>
      <c r="Q274" s="35"/>
      <c r="R274" s="38">
        <v>0</v>
      </c>
      <c r="S274" s="39" t="s">
        <v>34</v>
      </c>
      <c r="T274" s="40"/>
      <c r="U274" s="40"/>
      <c r="V274" s="231"/>
      <c r="W274" s="232"/>
      <c r="X274" s="232"/>
      <c r="Y274" s="232"/>
      <c r="Z274" s="232"/>
      <c r="AA274" s="232"/>
      <c r="AB274" s="42"/>
      <c r="AC274" s="232"/>
      <c r="AD274" s="232"/>
      <c r="AE274" s="232"/>
      <c r="AF274" s="232" t="s">
        <v>445</v>
      </c>
      <c r="AG274" s="38">
        <v>0</v>
      </c>
      <c r="AI274" s="46"/>
    </row>
    <row r="275" spans="1:35" ht="24" x14ac:dyDescent="0.25">
      <c r="A275" s="148">
        <v>273</v>
      </c>
      <c r="B275" s="148" t="s">
        <v>407</v>
      </c>
      <c r="C275" s="151" t="s">
        <v>407</v>
      </c>
      <c r="D275" s="148">
        <v>1</v>
      </c>
      <c r="E275" s="148">
        <v>1</v>
      </c>
      <c r="F275" s="161" t="s">
        <v>810</v>
      </c>
      <c r="G275" s="149" t="s">
        <v>1143</v>
      </c>
      <c r="H275" s="162" t="s">
        <v>1137</v>
      </c>
      <c r="I275" s="161" t="s">
        <v>469</v>
      </c>
      <c r="J275" s="161"/>
      <c r="K275" s="161" t="s">
        <v>1144</v>
      </c>
      <c r="L275" s="163" t="s">
        <v>1145</v>
      </c>
      <c r="M275" s="153" t="s">
        <v>546</v>
      </c>
      <c r="N275" s="233"/>
      <c r="O275" s="154"/>
      <c r="P275" s="233"/>
      <c r="Q275" s="233"/>
      <c r="R275" s="164">
        <v>1</v>
      </c>
      <c r="S275" s="155" t="s">
        <v>34</v>
      </c>
      <c r="T275" s="156" t="s">
        <v>469</v>
      </c>
      <c r="U275" s="156" t="s">
        <v>470</v>
      </c>
      <c r="V275" s="233"/>
      <c r="W275" s="233"/>
      <c r="X275" s="233"/>
      <c r="Y275" s="233"/>
      <c r="Z275" s="233"/>
      <c r="AA275" s="233"/>
      <c r="AB275" s="233"/>
      <c r="AC275" s="233"/>
      <c r="AD275" s="233"/>
      <c r="AE275" s="233"/>
      <c r="AF275" s="166" t="s">
        <v>445</v>
      </c>
      <c r="AG275" s="164">
        <v>1</v>
      </c>
      <c r="AI275" s="66"/>
    </row>
    <row r="276" spans="1:35" ht="24" x14ac:dyDescent="0.25">
      <c r="A276" s="148">
        <v>274</v>
      </c>
      <c r="B276" s="148" t="s">
        <v>407</v>
      </c>
      <c r="C276" s="151" t="s">
        <v>407</v>
      </c>
      <c r="D276" s="148">
        <v>3</v>
      </c>
      <c r="E276" s="148">
        <v>3</v>
      </c>
      <c r="F276" s="161" t="s">
        <v>810</v>
      </c>
      <c r="G276" s="149" t="s">
        <v>1143</v>
      </c>
      <c r="H276" s="162" t="s">
        <v>1137</v>
      </c>
      <c r="I276" s="161" t="s">
        <v>469</v>
      </c>
      <c r="J276" s="161"/>
      <c r="K276" s="161" t="s">
        <v>1146</v>
      </c>
      <c r="L276" s="163" t="s">
        <v>1147</v>
      </c>
      <c r="M276" s="153" t="s">
        <v>546</v>
      </c>
      <c r="N276" s="233"/>
      <c r="O276" s="154"/>
      <c r="P276" s="233"/>
      <c r="Q276" s="233"/>
      <c r="R276" s="164">
        <v>3</v>
      </c>
      <c r="S276" s="155" t="s">
        <v>34</v>
      </c>
      <c r="T276" s="156" t="s">
        <v>469</v>
      </c>
      <c r="U276" s="156" t="s">
        <v>470</v>
      </c>
      <c r="V276" s="233"/>
      <c r="W276" s="233"/>
      <c r="X276" s="233"/>
      <c r="Y276" s="233"/>
      <c r="Z276" s="233"/>
      <c r="AA276" s="233"/>
      <c r="AB276" s="233"/>
      <c r="AC276" s="233"/>
      <c r="AD276" s="233"/>
      <c r="AE276" s="233"/>
      <c r="AF276" s="166" t="s">
        <v>445</v>
      </c>
      <c r="AG276" s="164">
        <v>3</v>
      </c>
      <c r="AI276" s="66"/>
    </row>
    <row r="277" spans="1:35" ht="24" x14ac:dyDescent="0.25">
      <c r="A277" s="148">
        <v>275</v>
      </c>
      <c r="B277" s="148" t="s">
        <v>407</v>
      </c>
      <c r="C277" s="151" t="s">
        <v>407</v>
      </c>
      <c r="D277" s="148">
        <v>1</v>
      </c>
      <c r="E277" s="148">
        <v>1</v>
      </c>
      <c r="F277" s="161" t="s">
        <v>810</v>
      </c>
      <c r="G277" s="149" t="s">
        <v>1143</v>
      </c>
      <c r="H277" s="162" t="s">
        <v>1137</v>
      </c>
      <c r="I277" s="161" t="s">
        <v>469</v>
      </c>
      <c r="J277" s="161"/>
      <c r="K277" s="161" t="s">
        <v>1148</v>
      </c>
      <c r="L277" s="163" t="s">
        <v>1149</v>
      </c>
      <c r="M277" s="153" t="s">
        <v>546</v>
      </c>
      <c r="N277" s="233"/>
      <c r="O277" s="154"/>
      <c r="P277" s="233"/>
      <c r="Q277" s="233"/>
      <c r="R277" s="164">
        <v>1</v>
      </c>
      <c r="S277" s="155" t="s">
        <v>34</v>
      </c>
      <c r="T277" s="156" t="s">
        <v>469</v>
      </c>
      <c r="U277" s="156" t="s">
        <v>470</v>
      </c>
      <c r="V277" s="233"/>
      <c r="W277" s="233"/>
      <c r="X277" s="233"/>
      <c r="Y277" s="233"/>
      <c r="Z277" s="233"/>
      <c r="AA277" s="233"/>
      <c r="AB277" s="233"/>
      <c r="AC277" s="233"/>
      <c r="AD277" s="233"/>
      <c r="AE277" s="233"/>
      <c r="AF277" s="166" t="s">
        <v>445</v>
      </c>
      <c r="AG277" s="164">
        <v>1</v>
      </c>
      <c r="AI277" s="66"/>
    </row>
    <row r="278" spans="1:35" ht="24" x14ac:dyDescent="0.25">
      <c r="A278" s="148">
        <v>276</v>
      </c>
      <c r="B278" s="148" t="s">
        <v>407</v>
      </c>
      <c r="C278" s="151" t="s">
        <v>407</v>
      </c>
      <c r="D278" s="148">
        <v>1</v>
      </c>
      <c r="E278" s="148">
        <v>1</v>
      </c>
      <c r="F278" s="161" t="s">
        <v>810</v>
      </c>
      <c r="G278" s="149" t="s">
        <v>1143</v>
      </c>
      <c r="H278" s="162" t="s">
        <v>1137</v>
      </c>
      <c r="I278" s="161" t="s">
        <v>469</v>
      </c>
      <c r="J278" s="161"/>
      <c r="K278" s="161" t="s">
        <v>1150</v>
      </c>
      <c r="L278" s="163" t="s">
        <v>1151</v>
      </c>
      <c r="M278" s="153" t="s">
        <v>546</v>
      </c>
      <c r="N278" s="153" t="s">
        <v>1152</v>
      </c>
      <c r="O278" s="154" t="s">
        <v>1153</v>
      </c>
      <c r="P278" s="154" t="s">
        <v>1153</v>
      </c>
      <c r="Q278" s="153" t="s">
        <v>1152</v>
      </c>
      <c r="R278" s="164">
        <v>1</v>
      </c>
      <c r="S278" s="155" t="s">
        <v>34</v>
      </c>
      <c r="T278" s="156" t="s">
        <v>410</v>
      </c>
      <c r="U278" s="156"/>
      <c r="V278" s="165"/>
      <c r="W278" s="166"/>
      <c r="X278" s="166"/>
      <c r="Y278" s="166"/>
      <c r="Z278" s="166"/>
      <c r="AA278" s="166"/>
      <c r="AB278" s="167"/>
      <c r="AC278" s="166"/>
      <c r="AD278" s="166"/>
      <c r="AE278" s="166"/>
      <c r="AF278" s="166" t="s">
        <v>445</v>
      </c>
      <c r="AG278" s="164">
        <v>1</v>
      </c>
      <c r="AI278" s="66"/>
    </row>
    <row r="279" spans="1:35" ht="24" x14ac:dyDescent="0.25">
      <c r="A279" s="148">
        <v>277</v>
      </c>
      <c r="B279" s="148" t="s">
        <v>407</v>
      </c>
      <c r="C279" s="148"/>
      <c r="D279" s="148">
        <v>0</v>
      </c>
      <c r="E279" s="148">
        <v>0</v>
      </c>
      <c r="F279" s="148" t="s">
        <v>437</v>
      </c>
      <c r="G279" s="149" t="s">
        <v>438</v>
      </c>
      <c r="H279" s="162" t="s">
        <v>1137</v>
      </c>
      <c r="I279" s="148" t="s">
        <v>410</v>
      </c>
      <c r="J279" s="148" t="s">
        <v>1154</v>
      </c>
      <c r="K279" s="148"/>
      <c r="L279" s="163" t="s">
        <v>1155</v>
      </c>
      <c r="M279" s="234" t="s">
        <v>412</v>
      </c>
      <c r="N279" s="161" t="s">
        <v>1156</v>
      </c>
      <c r="O279" s="235">
        <v>34078</v>
      </c>
      <c r="P279" s="154" t="s">
        <v>415</v>
      </c>
      <c r="Q279" s="161" t="s">
        <v>1156</v>
      </c>
      <c r="R279" s="164">
        <v>1</v>
      </c>
      <c r="S279" s="155" t="s">
        <v>34</v>
      </c>
      <c r="T279" s="156" t="s">
        <v>410</v>
      </c>
      <c r="U279" s="156"/>
      <c r="V279" s="153"/>
      <c r="W279" s="235"/>
      <c r="X279" s="236"/>
      <c r="Y279" s="156"/>
      <c r="Z279" s="157" t="s">
        <v>422</v>
      </c>
      <c r="AA279" s="158">
        <v>3878.0874999999996</v>
      </c>
      <c r="AB279" s="159" t="s">
        <v>424</v>
      </c>
      <c r="AC279" s="153"/>
      <c r="AD279" s="153"/>
      <c r="AE279" s="160"/>
      <c r="AF279" s="157" t="s">
        <v>445</v>
      </c>
      <c r="AG279" s="157">
        <v>1</v>
      </c>
      <c r="AI279" s="66"/>
    </row>
    <row r="280" spans="1:35" ht="24" x14ac:dyDescent="0.25">
      <c r="A280" s="148">
        <v>278</v>
      </c>
      <c r="B280" s="148" t="s">
        <v>407</v>
      </c>
      <c r="C280" s="148"/>
      <c r="D280" s="148">
        <v>0</v>
      </c>
      <c r="E280" s="148">
        <v>0</v>
      </c>
      <c r="F280" s="148" t="s">
        <v>437</v>
      </c>
      <c r="G280" s="149" t="s">
        <v>438</v>
      </c>
      <c r="H280" s="162" t="s">
        <v>1137</v>
      </c>
      <c r="I280" s="148" t="s">
        <v>410</v>
      </c>
      <c r="J280" s="148" t="s">
        <v>1154</v>
      </c>
      <c r="K280" s="148"/>
      <c r="L280" s="163" t="s">
        <v>1155</v>
      </c>
      <c r="M280" s="234" t="s">
        <v>412</v>
      </c>
      <c r="N280" s="161" t="s">
        <v>1156</v>
      </c>
      <c r="O280" s="235">
        <v>34078</v>
      </c>
      <c r="P280" s="154" t="s">
        <v>415</v>
      </c>
      <c r="Q280" s="161" t="s">
        <v>1156</v>
      </c>
      <c r="R280" s="164">
        <v>1</v>
      </c>
      <c r="S280" s="155" t="s">
        <v>34</v>
      </c>
      <c r="T280" s="156" t="s">
        <v>410</v>
      </c>
      <c r="U280" s="156"/>
      <c r="V280" s="153"/>
      <c r="W280" s="235"/>
      <c r="X280" s="236"/>
      <c r="Y280" s="156"/>
      <c r="Z280" s="157" t="s">
        <v>422</v>
      </c>
      <c r="AA280" s="158">
        <v>3878.0874999999996</v>
      </c>
      <c r="AB280" s="159" t="s">
        <v>424</v>
      </c>
      <c r="AC280" s="153"/>
      <c r="AD280" s="153"/>
      <c r="AE280" s="160"/>
      <c r="AF280" s="157" t="s">
        <v>445</v>
      </c>
      <c r="AG280" s="157">
        <v>1</v>
      </c>
      <c r="AI280" s="66"/>
    </row>
    <row r="281" spans="1:35" ht="24" x14ac:dyDescent="0.25">
      <c r="A281" s="148">
        <v>279</v>
      </c>
      <c r="B281" s="148" t="s">
        <v>407</v>
      </c>
      <c r="C281" s="148"/>
      <c r="D281" s="148">
        <v>0</v>
      </c>
      <c r="E281" s="148">
        <v>0</v>
      </c>
      <c r="F281" s="148" t="s">
        <v>437</v>
      </c>
      <c r="G281" s="149" t="s">
        <v>438</v>
      </c>
      <c r="H281" s="162" t="s">
        <v>1137</v>
      </c>
      <c r="I281" s="148" t="s">
        <v>410</v>
      </c>
      <c r="J281" s="148" t="s">
        <v>1154</v>
      </c>
      <c r="K281" s="148"/>
      <c r="L281" s="163" t="s">
        <v>1155</v>
      </c>
      <c r="M281" s="234" t="s">
        <v>412</v>
      </c>
      <c r="N281" s="161" t="s">
        <v>1156</v>
      </c>
      <c r="O281" s="235">
        <v>34078</v>
      </c>
      <c r="P281" s="154" t="s">
        <v>415</v>
      </c>
      <c r="Q281" s="161" t="s">
        <v>1156</v>
      </c>
      <c r="R281" s="164">
        <v>1</v>
      </c>
      <c r="S281" s="155" t="s">
        <v>34</v>
      </c>
      <c r="T281" s="156" t="s">
        <v>410</v>
      </c>
      <c r="U281" s="156"/>
      <c r="V281" s="153"/>
      <c r="W281" s="235"/>
      <c r="X281" s="236"/>
      <c r="Y281" s="156"/>
      <c r="Z281" s="157" t="s">
        <v>422</v>
      </c>
      <c r="AA281" s="158">
        <v>3878.0874999999996</v>
      </c>
      <c r="AB281" s="159" t="s">
        <v>424</v>
      </c>
      <c r="AC281" s="153"/>
      <c r="AD281" s="153"/>
      <c r="AE281" s="160"/>
      <c r="AF281" s="157" t="s">
        <v>445</v>
      </c>
      <c r="AG281" s="157">
        <v>1</v>
      </c>
      <c r="AI281" s="66"/>
    </row>
    <row r="282" spans="1:35" ht="24" x14ac:dyDescent="0.25">
      <c r="A282" s="148">
        <v>280</v>
      </c>
      <c r="B282" s="148" t="s">
        <v>407</v>
      </c>
      <c r="C282" s="148" t="s">
        <v>407</v>
      </c>
      <c r="D282" s="148">
        <v>2</v>
      </c>
      <c r="E282" s="148">
        <v>2</v>
      </c>
      <c r="F282" s="161" t="s">
        <v>810</v>
      </c>
      <c r="G282" s="149" t="s">
        <v>1157</v>
      </c>
      <c r="H282" s="162" t="s">
        <v>1137</v>
      </c>
      <c r="I282" s="161" t="s">
        <v>469</v>
      </c>
      <c r="J282" s="161"/>
      <c r="K282" s="161" t="s">
        <v>1158</v>
      </c>
      <c r="L282" s="237" t="s">
        <v>1159</v>
      </c>
      <c r="M282" s="153" t="s">
        <v>546</v>
      </c>
      <c r="N282" s="233"/>
      <c r="O282" s="154"/>
      <c r="P282" s="233"/>
      <c r="Q282" s="233"/>
      <c r="R282" s="164">
        <v>2</v>
      </c>
      <c r="S282" s="155" t="s">
        <v>34</v>
      </c>
      <c r="T282" s="156" t="s">
        <v>469</v>
      </c>
      <c r="U282" s="156" t="s">
        <v>470</v>
      </c>
      <c r="V282" s="233"/>
      <c r="W282" s="233"/>
      <c r="X282" s="233"/>
      <c r="Y282" s="233"/>
      <c r="Z282" s="233"/>
      <c r="AA282" s="233"/>
      <c r="AB282" s="233"/>
      <c r="AC282" s="233"/>
      <c r="AD282" s="233"/>
      <c r="AE282" s="233"/>
      <c r="AF282" s="166" t="s">
        <v>445</v>
      </c>
      <c r="AG282" s="164">
        <v>2</v>
      </c>
      <c r="AI282" s="66"/>
    </row>
    <row r="283" spans="1:35" ht="24" x14ac:dyDescent="0.25">
      <c r="A283" s="148">
        <v>281</v>
      </c>
      <c r="B283" s="148" t="s">
        <v>407</v>
      </c>
      <c r="C283" s="148" t="s">
        <v>407</v>
      </c>
      <c r="D283" s="148">
        <v>1</v>
      </c>
      <c r="E283" s="148">
        <v>1</v>
      </c>
      <c r="F283" s="161" t="s">
        <v>810</v>
      </c>
      <c r="G283" s="149" t="s">
        <v>1157</v>
      </c>
      <c r="H283" s="162" t="s">
        <v>1137</v>
      </c>
      <c r="I283" s="161" t="s">
        <v>469</v>
      </c>
      <c r="J283" s="161"/>
      <c r="K283" s="161" t="s">
        <v>1160</v>
      </c>
      <c r="L283" s="237" t="s">
        <v>1161</v>
      </c>
      <c r="M283" s="234" t="s">
        <v>412</v>
      </c>
      <c r="N283" s="153" t="s">
        <v>1162</v>
      </c>
      <c r="O283" s="154" t="s">
        <v>837</v>
      </c>
      <c r="P283" s="154" t="s">
        <v>837</v>
      </c>
      <c r="Q283" s="153" t="s">
        <v>1162</v>
      </c>
      <c r="R283" s="164">
        <v>1</v>
      </c>
      <c r="S283" s="155" t="s">
        <v>34</v>
      </c>
      <c r="T283" s="156" t="s">
        <v>410</v>
      </c>
      <c r="U283" s="156"/>
      <c r="V283" s="165"/>
      <c r="W283" s="166"/>
      <c r="X283" s="166"/>
      <c r="Y283" s="166"/>
      <c r="Z283" s="166"/>
      <c r="AA283" s="166"/>
      <c r="AB283" s="167"/>
      <c r="AC283" s="166"/>
      <c r="AD283" s="166"/>
      <c r="AE283" s="166"/>
      <c r="AF283" s="166" t="s">
        <v>445</v>
      </c>
      <c r="AG283" s="164">
        <v>1</v>
      </c>
      <c r="AI283" s="66"/>
    </row>
    <row r="284" spans="1:35" ht="24" x14ac:dyDescent="0.25">
      <c r="A284" s="148">
        <v>282</v>
      </c>
      <c r="B284" s="148" t="s">
        <v>407</v>
      </c>
      <c r="C284" s="148" t="s">
        <v>407</v>
      </c>
      <c r="D284" s="148">
        <v>1</v>
      </c>
      <c r="E284" s="148">
        <v>1</v>
      </c>
      <c r="F284" s="161" t="s">
        <v>810</v>
      </c>
      <c r="G284" s="149" t="s">
        <v>1163</v>
      </c>
      <c r="H284" s="162" t="s">
        <v>1137</v>
      </c>
      <c r="I284" s="161" t="s">
        <v>469</v>
      </c>
      <c r="J284" s="161"/>
      <c r="K284" s="161" t="s">
        <v>1164</v>
      </c>
      <c r="L284" s="237" t="s">
        <v>1165</v>
      </c>
      <c r="M284" s="153" t="s">
        <v>546</v>
      </c>
      <c r="N284" s="233"/>
      <c r="O284" s="154" t="s">
        <v>810</v>
      </c>
      <c r="P284" s="233"/>
      <c r="Q284" s="233"/>
      <c r="R284" s="164">
        <v>1</v>
      </c>
      <c r="S284" s="155" t="s">
        <v>34</v>
      </c>
      <c r="T284" s="156" t="s">
        <v>469</v>
      </c>
      <c r="U284" s="156" t="s">
        <v>470</v>
      </c>
      <c r="V284" s="233"/>
      <c r="W284" s="233"/>
      <c r="X284" s="233"/>
      <c r="Y284" s="233"/>
      <c r="Z284" s="233"/>
      <c r="AA284" s="233"/>
      <c r="AB284" s="233"/>
      <c r="AC284" s="233"/>
      <c r="AD284" s="233"/>
      <c r="AE284" s="233"/>
      <c r="AF284" s="166" t="s">
        <v>445</v>
      </c>
      <c r="AG284" s="164">
        <v>1</v>
      </c>
      <c r="AI284" s="66"/>
    </row>
    <row r="285" spans="1:35" ht="24" x14ac:dyDescent="0.25">
      <c r="A285" s="148">
        <v>283</v>
      </c>
      <c r="B285" s="148" t="s">
        <v>407</v>
      </c>
      <c r="C285" s="161" t="s">
        <v>407</v>
      </c>
      <c r="D285" s="148">
        <v>1</v>
      </c>
      <c r="E285" s="148">
        <v>1</v>
      </c>
      <c r="F285" s="161" t="s">
        <v>810</v>
      </c>
      <c r="G285" s="149" t="s">
        <v>1157</v>
      </c>
      <c r="H285" s="162" t="s">
        <v>1137</v>
      </c>
      <c r="I285" s="161" t="s">
        <v>469</v>
      </c>
      <c r="J285" s="161"/>
      <c r="K285" s="161" t="s">
        <v>1166</v>
      </c>
      <c r="L285" s="237" t="s">
        <v>1167</v>
      </c>
      <c r="M285" s="234" t="s">
        <v>412</v>
      </c>
      <c r="N285" s="153" t="s">
        <v>1168</v>
      </c>
      <c r="O285" s="154" t="s">
        <v>1169</v>
      </c>
      <c r="P285" s="154" t="s">
        <v>1169</v>
      </c>
      <c r="Q285" s="153" t="s">
        <v>1168</v>
      </c>
      <c r="R285" s="164">
        <v>1</v>
      </c>
      <c r="S285" s="155" t="s">
        <v>34</v>
      </c>
      <c r="T285" s="156" t="s">
        <v>410</v>
      </c>
      <c r="U285" s="156"/>
      <c r="V285" s="165"/>
      <c r="W285" s="166"/>
      <c r="X285" s="166"/>
      <c r="Y285" s="166"/>
      <c r="Z285" s="166"/>
      <c r="AA285" s="166"/>
      <c r="AB285" s="167"/>
      <c r="AC285" s="166"/>
      <c r="AD285" s="166"/>
      <c r="AE285" s="166"/>
      <c r="AF285" s="166" t="s">
        <v>445</v>
      </c>
      <c r="AG285" s="164">
        <v>1</v>
      </c>
      <c r="AI285" s="66"/>
    </row>
    <row r="286" spans="1:35" ht="24" x14ac:dyDescent="0.25">
      <c r="A286" s="148">
        <v>284</v>
      </c>
      <c r="B286" s="148" t="s">
        <v>407</v>
      </c>
      <c r="C286" s="161" t="s">
        <v>407</v>
      </c>
      <c r="D286" s="148">
        <v>1</v>
      </c>
      <c r="E286" s="148">
        <v>1</v>
      </c>
      <c r="F286" s="161" t="s">
        <v>810</v>
      </c>
      <c r="G286" s="149" t="s">
        <v>1157</v>
      </c>
      <c r="H286" s="162" t="s">
        <v>1137</v>
      </c>
      <c r="I286" s="161" t="s">
        <v>469</v>
      </c>
      <c r="J286" s="161"/>
      <c r="K286" s="161" t="s">
        <v>1166</v>
      </c>
      <c r="L286" s="237" t="s">
        <v>1167</v>
      </c>
      <c r="M286" s="234" t="s">
        <v>412</v>
      </c>
      <c r="N286" s="153" t="s">
        <v>1168</v>
      </c>
      <c r="O286" s="154" t="s">
        <v>1169</v>
      </c>
      <c r="P286" s="154" t="s">
        <v>1169</v>
      </c>
      <c r="Q286" s="153" t="s">
        <v>1168</v>
      </c>
      <c r="R286" s="164">
        <v>1</v>
      </c>
      <c r="S286" s="155" t="s">
        <v>34</v>
      </c>
      <c r="T286" s="156" t="s">
        <v>410</v>
      </c>
      <c r="U286" s="156"/>
      <c r="V286" s="165"/>
      <c r="W286" s="166"/>
      <c r="X286" s="166"/>
      <c r="Y286" s="166"/>
      <c r="Z286" s="166"/>
      <c r="AA286" s="166"/>
      <c r="AB286" s="167"/>
      <c r="AC286" s="166"/>
      <c r="AD286" s="166"/>
      <c r="AE286" s="166"/>
      <c r="AF286" s="166" t="s">
        <v>445</v>
      </c>
      <c r="AG286" s="164">
        <v>1</v>
      </c>
      <c r="AI286" s="66"/>
    </row>
    <row r="287" spans="1:35" x14ac:dyDescent="0.25">
      <c r="A287" s="148">
        <v>285</v>
      </c>
      <c r="B287" s="148"/>
      <c r="C287" s="161" t="s">
        <v>407</v>
      </c>
      <c r="D287" s="148">
        <v>0</v>
      </c>
      <c r="E287" s="148">
        <v>0</v>
      </c>
      <c r="F287" s="161" t="s">
        <v>810</v>
      </c>
      <c r="G287" s="149"/>
      <c r="H287" s="162" t="s">
        <v>1137</v>
      </c>
      <c r="I287" s="161" t="s">
        <v>469</v>
      </c>
      <c r="J287" s="161"/>
      <c r="K287" s="161"/>
      <c r="L287" s="237" t="s">
        <v>1170</v>
      </c>
      <c r="M287" s="234" t="s">
        <v>412</v>
      </c>
      <c r="N287" s="153" t="s">
        <v>1168</v>
      </c>
      <c r="O287" s="154" t="s">
        <v>1169</v>
      </c>
      <c r="P287" s="154" t="s">
        <v>1169</v>
      </c>
      <c r="Q287" s="153" t="s">
        <v>1168</v>
      </c>
      <c r="R287" s="164">
        <v>1</v>
      </c>
      <c r="S287" s="155" t="s">
        <v>34</v>
      </c>
      <c r="T287" s="156" t="s">
        <v>410</v>
      </c>
      <c r="U287" s="156"/>
      <c r="V287" s="165"/>
      <c r="W287" s="166"/>
      <c r="X287" s="166"/>
      <c r="Y287" s="166"/>
      <c r="Z287" s="166"/>
      <c r="AA287" s="166"/>
      <c r="AB287" s="167"/>
      <c r="AC287" s="166"/>
      <c r="AD287" s="166"/>
      <c r="AE287" s="166"/>
      <c r="AF287" s="166"/>
      <c r="AG287" s="164">
        <v>1</v>
      </c>
    </row>
    <row r="288" spans="1:35" x14ac:dyDescent="0.25">
      <c r="A288" s="148">
        <v>286</v>
      </c>
      <c r="B288" s="148"/>
      <c r="C288" s="161" t="s">
        <v>407</v>
      </c>
      <c r="D288" s="148">
        <v>0</v>
      </c>
      <c r="E288" s="148">
        <v>0</v>
      </c>
      <c r="F288" s="161" t="s">
        <v>810</v>
      </c>
      <c r="G288" s="149"/>
      <c r="H288" s="162" t="s">
        <v>1137</v>
      </c>
      <c r="I288" s="161" t="s">
        <v>469</v>
      </c>
      <c r="J288" s="161"/>
      <c r="K288" s="161"/>
      <c r="L288" s="237" t="s">
        <v>1170</v>
      </c>
      <c r="M288" s="234" t="s">
        <v>412</v>
      </c>
      <c r="N288" s="153" t="s">
        <v>1168</v>
      </c>
      <c r="O288" s="154" t="s">
        <v>1169</v>
      </c>
      <c r="P288" s="154" t="s">
        <v>1169</v>
      </c>
      <c r="Q288" s="153" t="s">
        <v>1168</v>
      </c>
      <c r="R288" s="164">
        <v>1</v>
      </c>
      <c r="S288" s="155" t="s">
        <v>34</v>
      </c>
      <c r="T288" s="156" t="s">
        <v>410</v>
      </c>
      <c r="U288" s="156"/>
      <c r="V288" s="165"/>
      <c r="W288" s="166"/>
      <c r="X288" s="166"/>
      <c r="Y288" s="166"/>
      <c r="Z288" s="166"/>
      <c r="AA288" s="166"/>
      <c r="AB288" s="167"/>
      <c r="AC288" s="166"/>
      <c r="AD288" s="166"/>
      <c r="AE288" s="166"/>
      <c r="AF288" s="166"/>
      <c r="AG288" s="164">
        <v>1</v>
      </c>
    </row>
    <row r="289" spans="1:35" s="45" customFormat="1" ht="24" x14ac:dyDescent="0.25">
      <c r="A289" s="29">
        <v>287</v>
      </c>
      <c r="B289" s="29" t="s">
        <v>407</v>
      </c>
      <c r="C289" s="30" t="s">
        <v>407</v>
      </c>
      <c r="D289" s="30">
        <v>0</v>
      </c>
      <c r="E289" s="30">
        <v>0</v>
      </c>
      <c r="F289" s="30"/>
      <c r="G289" s="31" t="s">
        <v>408</v>
      </c>
      <c r="H289" s="228" t="s">
        <v>1137</v>
      </c>
      <c r="I289" s="30" t="s">
        <v>410</v>
      </c>
      <c r="J289" s="30"/>
      <c r="K289" s="30"/>
      <c r="L289" s="31" t="s">
        <v>1171</v>
      </c>
      <c r="M289" s="35" t="s">
        <v>412</v>
      </c>
      <c r="N289" s="35" t="s">
        <v>1172</v>
      </c>
      <c r="O289" s="37" t="s">
        <v>415</v>
      </c>
      <c r="P289" s="37" t="s">
        <v>415</v>
      </c>
      <c r="Q289" s="35" t="s">
        <v>1172</v>
      </c>
      <c r="R289" s="38">
        <v>0</v>
      </c>
      <c r="S289" s="39" t="s">
        <v>34</v>
      </c>
      <c r="T289" s="40"/>
      <c r="U289" s="40"/>
      <c r="V289" s="35"/>
      <c r="W289" s="48" t="s">
        <v>471</v>
      </c>
      <c r="X289" s="40"/>
      <c r="Y289" s="40"/>
      <c r="Z289" s="41"/>
      <c r="AA289" s="42"/>
      <c r="AB289" s="43"/>
      <c r="AC289" s="35"/>
      <c r="AD289" s="35"/>
      <c r="AE289" s="44"/>
      <c r="AF289" s="41" t="s">
        <v>445</v>
      </c>
      <c r="AG289" s="41">
        <v>0</v>
      </c>
      <c r="AI289" s="46"/>
    </row>
    <row r="290" spans="1:35" s="45" customFormat="1" ht="24" x14ac:dyDescent="0.25">
      <c r="A290" s="29">
        <v>288</v>
      </c>
      <c r="B290" s="29" t="s">
        <v>407</v>
      </c>
      <c r="C290" s="30" t="s">
        <v>407</v>
      </c>
      <c r="D290" s="30">
        <v>0</v>
      </c>
      <c r="E290" s="30">
        <v>0</v>
      </c>
      <c r="F290" s="30"/>
      <c r="G290" s="31" t="s">
        <v>408</v>
      </c>
      <c r="H290" s="32" t="s">
        <v>1137</v>
      </c>
      <c r="I290" s="30" t="s">
        <v>410</v>
      </c>
      <c r="J290" s="30"/>
      <c r="K290" s="30"/>
      <c r="L290" s="238" t="s">
        <v>1173</v>
      </c>
      <c r="M290" s="35"/>
      <c r="N290" s="35" t="s">
        <v>1174</v>
      </c>
      <c r="O290" s="37" t="s">
        <v>415</v>
      </c>
      <c r="P290" s="37" t="s">
        <v>415</v>
      </c>
      <c r="Q290" s="35" t="s">
        <v>1174</v>
      </c>
      <c r="R290" s="38">
        <v>0</v>
      </c>
      <c r="S290" s="39" t="s">
        <v>34</v>
      </c>
      <c r="T290" s="40"/>
      <c r="U290" s="40"/>
      <c r="V290" s="47"/>
      <c r="W290" s="30" t="s">
        <v>421</v>
      </c>
      <c r="X290" s="30"/>
      <c r="Y290" s="40"/>
      <c r="Z290" s="41"/>
      <c r="AA290" s="42"/>
      <c r="AB290" s="43"/>
      <c r="AC290" s="35"/>
      <c r="AD290" s="35"/>
      <c r="AE290" s="44"/>
      <c r="AF290" s="41" t="s">
        <v>445</v>
      </c>
      <c r="AG290" s="41">
        <v>0</v>
      </c>
      <c r="AI290" s="46"/>
    </row>
    <row r="291" spans="1:35" ht="24" x14ac:dyDescent="0.25">
      <c r="A291" s="148">
        <v>289</v>
      </c>
      <c r="B291" s="148" t="s">
        <v>407</v>
      </c>
      <c r="C291" s="151" t="s">
        <v>407</v>
      </c>
      <c r="D291" s="148">
        <v>1</v>
      </c>
      <c r="E291" s="148">
        <v>1</v>
      </c>
      <c r="F291" s="151" t="s">
        <v>430</v>
      </c>
      <c r="G291" s="149" t="s">
        <v>1175</v>
      </c>
      <c r="H291" s="162" t="s">
        <v>1137</v>
      </c>
      <c r="I291" s="151" t="s">
        <v>410</v>
      </c>
      <c r="J291" s="151"/>
      <c r="K291" s="151" t="s">
        <v>1176</v>
      </c>
      <c r="L291" s="152" t="s">
        <v>1177</v>
      </c>
      <c r="M291" s="153" t="s">
        <v>412</v>
      </c>
      <c r="N291" s="153" t="s">
        <v>1178</v>
      </c>
      <c r="O291" s="153" t="s">
        <v>886</v>
      </c>
      <c r="P291" s="153" t="s">
        <v>415</v>
      </c>
      <c r="Q291" s="153" t="s">
        <v>1178</v>
      </c>
      <c r="R291" s="155">
        <v>1</v>
      </c>
      <c r="S291" s="155" t="s">
        <v>34</v>
      </c>
      <c r="T291" s="156" t="s">
        <v>410</v>
      </c>
      <c r="U291" s="156"/>
      <c r="V291" s="153"/>
      <c r="W291" s="235"/>
      <c r="X291" s="156"/>
      <c r="Y291" s="156"/>
      <c r="Z291" s="157"/>
      <c r="AA291" s="167"/>
      <c r="AB291" s="159"/>
      <c r="AC291" s="153"/>
      <c r="AD291" s="153"/>
      <c r="AE291" s="160"/>
      <c r="AF291" s="157" t="s">
        <v>445</v>
      </c>
      <c r="AG291" s="157">
        <v>1</v>
      </c>
      <c r="AI291" s="66"/>
    </row>
    <row r="292" spans="1:35" x14ac:dyDescent="0.25">
      <c r="A292" s="148">
        <v>290</v>
      </c>
      <c r="B292" s="148" t="s">
        <v>407</v>
      </c>
      <c r="C292" s="161" t="s">
        <v>407</v>
      </c>
      <c r="D292" s="148">
        <v>0</v>
      </c>
      <c r="E292" s="148">
        <v>0</v>
      </c>
      <c r="F292" s="161" t="s">
        <v>430</v>
      </c>
      <c r="G292" s="149"/>
      <c r="H292" s="162" t="s">
        <v>1179</v>
      </c>
      <c r="I292" s="161" t="s">
        <v>410</v>
      </c>
      <c r="J292" s="161"/>
      <c r="K292" s="161"/>
      <c r="L292" s="163" t="s">
        <v>1180</v>
      </c>
      <c r="M292" s="153"/>
      <c r="N292" s="153" t="s">
        <v>1181</v>
      </c>
      <c r="O292" s="154" t="s">
        <v>886</v>
      </c>
      <c r="P292" s="154" t="s">
        <v>415</v>
      </c>
      <c r="Q292" s="153" t="s">
        <v>1181</v>
      </c>
      <c r="R292" s="164">
        <v>1</v>
      </c>
      <c r="S292" s="155" t="s">
        <v>34</v>
      </c>
      <c r="T292" s="156" t="s">
        <v>469</v>
      </c>
      <c r="U292" s="156" t="s">
        <v>470</v>
      </c>
      <c r="V292" s="165"/>
      <c r="W292" s="166"/>
      <c r="X292" s="166"/>
      <c r="Y292" s="166"/>
      <c r="Z292" s="166"/>
      <c r="AA292" s="166"/>
      <c r="AB292" s="167"/>
      <c r="AC292" s="166"/>
      <c r="AD292" s="166"/>
      <c r="AE292" s="166"/>
      <c r="AF292" s="166"/>
      <c r="AG292" s="164">
        <v>1</v>
      </c>
    </row>
    <row r="293" spans="1:35" ht="24" x14ac:dyDescent="0.25">
      <c r="A293" s="148">
        <v>291</v>
      </c>
      <c r="B293" s="148" t="s">
        <v>407</v>
      </c>
      <c r="C293" s="151" t="s">
        <v>407</v>
      </c>
      <c r="D293" s="148">
        <v>1</v>
      </c>
      <c r="E293" s="148">
        <v>1</v>
      </c>
      <c r="F293" s="151" t="s">
        <v>430</v>
      </c>
      <c r="G293" s="149" t="s">
        <v>1182</v>
      </c>
      <c r="H293" s="162" t="s">
        <v>1137</v>
      </c>
      <c r="I293" s="151" t="s">
        <v>410</v>
      </c>
      <c r="J293" s="151"/>
      <c r="K293" s="151" t="s">
        <v>1183</v>
      </c>
      <c r="L293" s="152" t="s">
        <v>1184</v>
      </c>
      <c r="M293" s="153" t="s">
        <v>412</v>
      </c>
      <c r="N293" s="153">
        <v>102813</v>
      </c>
      <c r="O293" s="153" t="s">
        <v>1185</v>
      </c>
      <c r="P293" s="154" t="s">
        <v>415</v>
      </c>
      <c r="Q293" s="153">
        <v>102813</v>
      </c>
      <c r="R293" s="164">
        <v>1</v>
      </c>
      <c r="S293" s="155" t="s">
        <v>34</v>
      </c>
      <c r="T293" s="156" t="s">
        <v>410</v>
      </c>
      <c r="U293" s="156"/>
      <c r="V293" s="153"/>
      <c r="W293" s="235"/>
      <c r="X293" s="156"/>
      <c r="Y293" s="156"/>
      <c r="Z293" s="157"/>
      <c r="AA293" s="167"/>
      <c r="AB293" s="159"/>
      <c r="AC293" s="153"/>
      <c r="AD293" s="153"/>
      <c r="AE293" s="160"/>
      <c r="AF293" s="157" t="s">
        <v>445</v>
      </c>
      <c r="AG293" s="157">
        <v>1</v>
      </c>
      <c r="AI293" s="66"/>
    </row>
    <row r="294" spans="1:35" ht="24" x14ac:dyDescent="0.25">
      <c r="A294" s="148">
        <v>292</v>
      </c>
      <c r="B294" s="148" t="s">
        <v>407</v>
      </c>
      <c r="C294" s="161"/>
      <c r="D294" s="148">
        <v>0</v>
      </c>
      <c r="E294" s="148">
        <v>0</v>
      </c>
      <c r="F294" s="161" t="s">
        <v>437</v>
      </c>
      <c r="G294" s="149" t="s">
        <v>438</v>
      </c>
      <c r="H294" s="162" t="s">
        <v>1137</v>
      </c>
      <c r="I294" s="161" t="s">
        <v>469</v>
      </c>
      <c r="J294" s="161">
        <v>2.1</v>
      </c>
      <c r="K294" s="161"/>
      <c r="L294" s="163" t="s">
        <v>1186</v>
      </c>
      <c r="M294" s="153"/>
      <c r="N294" s="153" t="s">
        <v>1187</v>
      </c>
      <c r="O294" s="154" t="s">
        <v>415</v>
      </c>
      <c r="P294" s="154" t="s">
        <v>415</v>
      </c>
      <c r="Q294" s="153" t="s">
        <v>1187</v>
      </c>
      <c r="R294" s="164">
        <v>1</v>
      </c>
      <c r="S294" s="155" t="s">
        <v>34</v>
      </c>
      <c r="T294" s="156" t="s">
        <v>469</v>
      </c>
      <c r="U294" s="156" t="s">
        <v>470</v>
      </c>
      <c r="V294" s="165"/>
      <c r="W294" s="166"/>
      <c r="X294" s="166"/>
      <c r="Y294" s="166"/>
      <c r="Z294" s="166" t="s">
        <v>422</v>
      </c>
      <c r="AA294" s="166" t="s">
        <v>423</v>
      </c>
      <c r="AB294" s="167" t="s">
        <v>424</v>
      </c>
      <c r="AC294" s="166"/>
      <c r="AD294" s="166"/>
      <c r="AE294" s="166"/>
      <c r="AF294" s="166" t="s">
        <v>420</v>
      </c>
      <c r="AG294" s="164">
        <v>1</v>
      </c>
      <c r="AI294" s="66"/>
    </row>
    <row r="295" spans="1:35" ht="24" x14ac:dyDescent="0.25">
      <c r="A295" s="148">
        <v>293</v>
      </c>
      <c r="B295" s="148" t="s">
        <v>407</v>
      </c>
      <c r="C295" s="161"/>
      <c r="D295" s="148">
        <v>0</v>
      </c>
      <c r="E295" s="148">
        <v>0</v>
      </c>
      <c r="F295" s="161" t="s">
        <v>437</v>
      </c>
      <c r="G295" s="149" t="s">
        <v>438</v>
      </c>
      <c r="H295" s="162" t="s">
        <v>1137</v>
      </c>
      <c r="I295" s="161" t="s">
        <v>469</v>
      </c>
      <c r="J295" s="161">
        <v>2.1</v>
      </c>
      <c r="K295" s="161"/>
      <c r="L295" s="163" t="s">
        <v>1188</v>
      </c>
      <c r="M295" s="153"/>
      <c r="N295" s="153" t="s">
        <v>1187</v>
      </c>
      <c r="O295" s="154" t="s">
        <v>415</v>
      </c>
      <c r="P295" s="154" t="s">
        <v>415</v>
      </c>
      <c r="Q295" s="153" t="s">
        <v>1187</v>
      </c>
      <c r="R295" s="164">
        <v>1</v>
      </c>
      <c r="S295" s="155" t="s">
        <v>34</v>
      </c>
      <c r="T295" s="156" t="s">
        <v>469</v>
      </c>
      <c r="U295" s="156" t="s">
        <v>470</v>
      </c>
      <c r="V295" s="165"/>
      <c r="W295" s="166"/>
      <c r="X295" s="166"/>
      <c r="Y295" s="166"/>
      <c r="Z295" s="166" t="s">
        <v>422</v>
      </c>
      <c r="AA295" s="166" t="s">
        <v>423</v>
      </c>
      <c r="AB295" s="167" t="s">
        <v>424</v>
      </c>
      <c r="AC295" s="166"/>
      <c r="AD295" s="166"/>
      <c r="AE295" s="166"/>
      <c r="AF295" s="166" t="s">
        <v>420</v>
      </c>
      <c r="AG295" s="164">
        <v>1</v>
      </c>
      <c r="AI295" s="66"/>
    </row>
    <row r="296" spans="1:35" ht="24" x14ac:dyDescent="0.25">
      <c r="A296" s="148">
        <v>294</v>
      </c>
      <c r="B296" s="148"/>
      <c r="C296" s="161" t="s">
        <v>407</v>
      </c>
      <c r="D296" s="148">
        <v>1</v>
      </c>
      <c r="E296" s="148">
        <v>1</v>
      </c>
      <c r="F296" s="161" t="s">
        <v>437</v>
      </c>
      <c r="G296" s="149" t="s">
        <v>1189</v>
      </c>
      <c r="H296" s="162" t="s">
        <v>1137</v>
      </c>
      <c r="I296" s="161" t="s">
        <v>469</v>
      </c>
      <c r="J296" s="161">
        <v>2.1</v>
      </c>
      <c r="K296" s="161"/>
      <c r="L296" s="163" t="s">
        <v>1190</v>
      </c>
      <c r="M296" s="153"/>
      <c r="N296" s="153" t="s">
        <v>1191</v>
      </c>
      <c r="O296" s="154" t="s">
        <v>415</v>
      </c>
      <c r="P296" s="154" t="s">
        <v>415</v>
      </c>
      <c r="Q296" s="153" t="s">
        <v>1191</v>
      </c>
      <c r="R296" s="164">
        <v>1</v>
      </c>
      <c r="S296" s="155" t="s">
        <v>34</v>
      </c>
      <c r="T296" s="156" t="s">
        <v>469</v>
      </c>
      <c r="U296" s="156" t="s">
        <v>470</v>
      </c>
      <c r="V296" s="165"/>
      <c r="W296" s="166"/>
      <c r="X296" s="166"/>
      <c r="Y296" s="166"/>
      <c r="Z296" s="166" t="s">
        <v>422</v>
      </c>
      <c r="AA296" s="166" t="s">
        <v>423</v>
      </c>
      <c r="AB296" s="167" t="s">
        <v>424</v>
      </c>
      <c r="AC296" s="166"/>
      <c r="AD296" s="166"/>
      <c r="AE296" s="166"/>
      <c r="AF296" s="166" t="s">
        <v>426</v>
      </c>
      <c r="AG296" s="164">
        <v>1</v>
      </c>
      <c r="AI296" s="66"/>
    </row>
    <row r="297" spans="1:35" ht="24" x14ac:dyDescent="0.25">
      <c r="A297" s="148">
        <v>295</v>
      </c>
      <c r="B297" s="148"/>
      <c r="C297" s="161" t="s">
        <v>407</v>
      </c>
      <c r="D297" s="148">
        <v>1</v>
      </c>
      <c r="E297" s="148">
        <v>1</v>
      </c>
      <c r="F297" s="161" t="s">
        <v>437</v>
      </c>
      <c r="G297" s="149" t="s">
        <v>1189</v>
      </c>
      <c r="H297" s="162" t="s">
        <v>1137</v>
      </c>
      <c r="I297" s="161" t="s">
        <v>469</v>
      </c>
      <c r="J297" s="161">
        <v>2.1</v>
      </c>
      <c r="K297" s="161"/>
      <c r="L297" s="163" t="s">
        <v>1192</v>
      </c>
      <c r="M297" s="153"/>
      <c r="N297" s="153" t="s">
        <v>1191</v>
      </c>
      <c r="O297" s="154" t="s">
        <v>415</v>
      </c>
      <c r="P297" s="154" t="s">
        <v>415</v>
      </c>
      <c r="Q297" s="153" t="s">
        <v>1191</v>
      </c>
      <c r="R297" s="164">
        <v>1</v>
      </c>
      <c r="S297" s="155" t="s">
        <v>34</v>
      </c>
      <c r="T297" s="156" t="s">
        <v>469</v>
      </c>
      <c r="U297" s="156" t="s">
        <v>470</v>
      </c>
      <c r="V297" s="165"/>
      <c r="W297" s="166"/>
      <c r="X297" s="166"/>
      <c r="Y297" s="166"/>
      <c r="Z297" s="166" t="s">
        <v>422</v>
      </c>
      <c r="AA297" s="166" t="s">
        <v>423</v>
      </c>
      <c r="AB297" s="167" t="s">
        <v>424</v>
      </c>
      <c r="AC297" s="166"/>
      <c r="AD297" s="166"/>
      <c r="AE297" s="166"/>
      <c r="AF297" s="166" t="s">
        <v>426</v>
      </c>
      <c r="AG297" s="164">
        <v>1</v>
      </c>
      <c r="AI297" s="66"/>
    </row>
    <row r="298" spans="1:35" s="45" customFormat="1" ht="24" x14ac:dyDescent="0.25">
      <c r="A298" s="29">
        <v>296</v>
      </c>
      <c r="B298" s="29" t="s">
        <v>407</v>
      </c>
      <c r="C298" s="229" t="s">
        <v>407</v>
      </c>
      <c r="D298" s="30">
        <v>0</v>
      </c>
      <c r="E298" s="30">
        <v>0</v>
      </c>
      <c r="F298" s="229"/>
      <c r="G298" s="31" t="s">
        <v>408</v>
      </c>
      <c r="H298" s="228" t="s">
        <v>1137</v>
      </c>
      <c r="I298" s="229" t="s">
        <v>469</v>
      </c>
      <c r="J298" s="229">
        <v>4.1100000000000003</v>
      </c>
      <c r="K298" s="229"/>
      <c r="L298" s="230" t="s">
        <v>1193</v>
      </c>
      <c r="M298" s="35"/>
      <c r="N298" s="35" t="s">
        <v>1194</v>
      </c>
      <c r="O298" s="37" t="s">
        <v>415</v>
      </c>
      <c r="P298" s="37" t="s">
        <v>415</v>
      </c>
      <c r="Q298" s="35" t="s">
        <v>1194</v>
      </c>
      <c r="R298" s="38">
        <v>0</v>
      </c>
      <c r="S298" s="39" t="s">
        <v>34</v>
      </c>
      <c r="T298" s="40"/>
      <c r="U298" s="40"/>
      <c r="V298" s="231"/>
      <c r="W298" s="232"/>
      <c r="X298" s="232"/>
      <c r="Y298" s="232"/>
      <c r="Z298" s="232" t="s">
        <v>422</v>
      </c>
      <c r="AA298" s="232" t="s">
        <v>423</v>
      </c>
      <c r="AB298" s="42" t="s">
        <v>424</v>
      </c>
      <c r="AC298" s="232"/>
      <c r="AD298" s="232"/>
      <c r="AE298" s="232"/>
      <c r="AF298" s="232" t="s">
        <v>445</v>
      </c>
      <c r="AG298" s="38">
        <v>0</v>
      </c>
      <c r="AI298" s="46"/>
    </row>
    <row r="299" spans="1:35" s="45" customFormat="1" ht="24" x14ac:dyDescent="0.25">
      <c r="A299" s="29">
        <v>297</v>
      </c>
      <c r="B299" s="29" t="s">
        <v>407</v>
      </c>
      <c r="C299" s="229" t="s">
        <v>407</v>
      </c>
      <c r="D299" s="30">
        <v>0</v>
      </c>
      <c r="E299" s="30">
        <v>0</v>
      </c>
      <c r="F299" s="229"/>
      <c r="G299" s="31" t="s">
        <v>408</v>
      </c>
      <c r="H299" s="228" t="s">
        <v>1137</v>
      </c>
      <c r="I299" s="229" t="s">
        <v>469</v>
      </c>
      <c r="J299" s="229">
        <v>4.1100000000000003</v>
      </c>
      <c r="K299" s="229"/>
      <c r="L299" s="230" t="s">
        <v>1195</v>
      </c>
      <c r="M299" s="35"/>
      <c r="N299" s="35" t="s">
        <v>1196</v>
      </c>
      <c r="O299" s="37" t="s">
        <v>415</v>
      </c>
      <c r="P299" s="37" t="s">
        <v>415</v>
      </c>
      <c r="Q299" s="35" t="s">
        <v>1196</v>
      </c>
      <c r="R299" s="38">
        <v>0</v>
      </c>
      <c r="S299" s="39" t="s">
        <v>34</v>
      </c>
      <c r="T299" s="40"/>
      <c r="U299" s="40"/>
      <c r="V299" s="231"/>
      <c r="W299" s="232"/>
      <c r="X299" s="232"/>
      <c r="Y299" s="232"/>
      <c r="Z299" s="232" t="s">
        <v>422</v>
      </c>
      <c r="AA299" s="232" t="s">
        <v>423</v>
      </c>
      <c r="AB299" s="42" t="s">
        <v>424</v>
      </c>
      <c r="AC299" s="232"/>
      <c r="AD299" s="232"/>
      <c r="AE299" s="232"/>
      <c r="AF299" s="232" t="s">
        <v>445</v>
      </c>
      <c r="AG299" s="38">
        <v>0</v>
      </c>
      <c r="AI299" s="46"/>
    </row>
    <row r="300" spans="1:35" s="45" customFormat="1" ht="36" x14ac:dyDescent="0.25">
      <c r="A300" s="29">
        <v>298</v>
      </c>
      <c r="B300" s="29" t="s">
        <v>407</v>
      </c>
      <c r="C300" s="30" t="s">
        <v>407</v>
      </c>
      <c r="D300" s="30">
        <v>0</v>
      </c>
      <c r="E300" s="30">
        <v>0</v>
      </c>
      <c r="F300" s="30"/>
      <c r="G300" s="31" t="s">
        <v>408</v>
      </c>
      <c r="H300" s="228" t="s">
        <v>1137</v>
      </c>
      <c r="I300" s="30" t="s">
        <v>410</v>
      </c>
      <c r="J300" s="30"/>
      <c r="K300" s="30" t="s">
        <v>1197</v>
      </c>
      <c r="L300" s="101" t="s">
        <v>1198</v>
      </c>
      <c r="M300" s="35" t="s">
        <v>412</v>
      </c>
      <c r="N300" s="48">
        <v>5414</v>
      </c>
      <c r="O300" s="35" t="s">
        <v>940</v>
      </c>
      <c r="P300" s="37" t="s">
        <v>415</v>
      </c>
      <c r="Q300" s="35" t="s">
        <v>1199</v>
      </c>
      <c r="R300" s="38">
        <v>0</v>
      </c>
      <c r="S300" s="39" t="s">
        <v>34</v>
      </c>
      <c r="T300" s="40"/>
      <c r="U300" s="40"/>
      <c r="V300" s="35" t="s">
        <v>1200</v>
      </c>
      <c r="W300" s="48"/>
      <c r="X300" s="40"/>
      <c r="Y300" s="40"/>
      <c r="Z300" s="41" t="s">
        <v>422</v>
      </c>
      <c r="AA300" s="42" t="s">
        <v>423</v>
      </c>
      <c r="AB300" s="43" t="s">
        <v>424</v>
      </c>
      <c r="AC300" s="35"/>
      <c r="AD300" s="35"/>
      <c r="AE300" s="44"/>
      <c r="AF300" s="41" t="s">
        <v>445</v>
      </c>
      <c r="AG300" s="41">
        <v>0</v>
      </c>
      <c r="AI300" s="46"/>
    </row>
    <row r="301" spans="1:35" ht="24" x14ac:dyDescent="0.25">
      <c r="A301" s="148">
        <v>299</v>
      </c>
      <c r="B301" s="148" t="s">
        <v>407</v>
      </c>
      <c r="C301" s="161" t="s">
        <v>407</v>
      </c>
      <c r="D301" s="148">
        <v>1</v>
      </c>
      <c r="E301" s="148">
        <v>1</v>
      </c>
      <c r="F301" s="161" t="s">
        <v>430</v>
      </c>
      <c r="G301" s="149" t="s">
        <v>1201</v>
      </c>
      <c r="H301" s="162" t="s">
        <v>1137</v>
      </c>
      <c r="I301" s="161" t="s">
        <v>469</v>
      </c>
      <c r="J301" s="161"/>
      <c r="K301" s="161"/>
      <c r="L301" s="163" t="s">
        <v>1202</v>
      </c>
      <c r="M301" s="153"/>
      <c r="N301" s="153"/>
      <c r="O301" s="154"/>
      <c r="P301" s="154"/>
      <c r="Q301" s="153"/>
      <c r="R301" s="164">
        <v>1</v>
      </c>
      <c r="S301" s="155" t="s">
        <v>34</v>
      </c>
      <c r="T301" s="156" t="s">
        <v>469</v>
      </c>
      <c r="U301" s="156" t="s">
        <v>470</v>
      </c>
      <c r="V301" s="165"/>
      <c r="W301" s="166"/>
      <c r="X301" s="166"/>
      <c r="Y301" s="166"/>
      <c r="Z301" s="166" t="s">
        <v>422</v>
      </c>
      <c r="AA301" s="166" t="s">
        <v>423</v>
      </c>
      <c r="AB301" s="167" t="s">
        <v>424</v>
      </c>
      <c r="AC301" s="166"/>
      <c r="AD301" s="166"/>
      <c r="AE301" s="166"/>
      <c r="AF301" s="166" t="s">
        <v>445</v>
      </c>
      <c r="AG301" s="164">
        <v>1</v>
      </c>
      <c r="AI301" s="66"/>
    </row>
    <row r="302" spans="1:35" s="45" customFormat="1" ht="24" x14ac:dyDescent="0.25">
      <c r="A302" s="29">
        <v>300</v>
      </c>
      <c r="B302" s="29" t="s">
        <v>407</v>
      </c>
      <c r="C302" s="30" t="s">
        <v>407</v>
      </c>
      <c r="D302" s="30">
        <v>0</v>
      </c>
      <c r="E302" s="30">
        <v>0</v>
      </c>
      <c r="F302" s="30"/>
      <c r="G302" s="31" t="s">
        <v>408</v>
      </c>
      <c r="H302" s="228" t="s">
        <v>1137</v>
      </c>
      <c r="I302" s="30" t="s">
        <v>410</v>
      </c>
      <c r="J302" s="30"/>
      <c r="K302" s="30" t="s">
        <v>1203</v>
      </c>
      <c r="L302" s="101" t="s">
        <v>1204</v>
      </c>
      <c r="M302" s="35" t="s">
        <v>412</v>
      </c>
      <c r="N302" s="35" t="s">
        <v>1205</v>
      </c>
      <c r="O302" s="48">
        <v>8098</v>
      </c>
      <c r="P302" s="37" t="s">
        <v>415</v>
      </c>
      <c r="Q302" s="35" t="s">
        <v>1205</v>
      </c>
      <c r="R302" s="38">
        <v>0</v>
      </c>
      <c r="S302" s="39" t="s">
        <v>34</v>
      </c>
      <c r="T302" s="40"/>
      <c r="U302" s="40"/>
      <c r="V302" s="35"/>
      <c r="W302" s="48"/>
      <c r="X302" s="40"/>
      <c r="Y302" s="40"/>
      <c r="Z302" s="41" t="s">
        <v>422</v>
      </c>
      <c r="AA302" s="42" t="s">
        <v>423</v>
      </c>
      <c r="AB302" s="43" t="s">
        <v>424</v>
      </c>
      <c r="AC302" s="35"/>
      <c r="AD302" s="35"/>
      <c r="AE302" s="44"/>
      <c r="AF302" s="41" t="s">
        <v>445</v>
      </c>
      <c r="AG302" s="41">
        <v>0</v>
      </c>
      <c r="AI302" s="46"/>
    </row>
    <row r="303" spans="1:35" s="45" customFormat="1" ht="24" x14ac:dyDescent="0.25">
      <c r="A303" s="29">
        <v>301</v>
      </c>
      <c r="B303" s="29" t="s">
        <v>407</v>
      </c>
      <c r="C303" s="229" t="s">
        <v>407</v>
      </c>
      <c r="D303" s="30">
        <v>0</v>
      </c>
      <c r="E303" s="30">
        <v>0</v>
      </c>
      <c r="F303" s="229"/>
      <c r="G303" s="31" t="s">
        <v>408</v>
      </c>
      <c r="H303" s="228" t="s">
        <v>1137</v>
      </c>
      <c r="I303" s="229" t="s">
        <v>469</v>
      </c>
      <c r="J303" s="229"/>
      <c r="K303" s="229"/>
      <c r="L303" s="230" t="s">
        <v>1206</v>
      </c>
      <c r="M303" s="35"/>
      <c r="N303" s="35" t="s">
        <v>1207</v>
      </c>
      <c r="O303" s="37"/>
      <c r="P303" s="37"/>
      <c r="Q303" s="35"/>
      <c r="R303" s="38">
        <v>0</v>
      </c>
      <c r="S303" s="39" t="s">
        <v>34</v>
      </c>
      <c r="T303" s="40"/>
      <c r="U303" s="40"/>
      <c r="V303" s="231"/>
      <c r="W303" s="232"/>
      <c r="X303" s="232"/>
      <c r="Y303" s="232"/>
      <c r="Z303" s="232" t="s">
        <v>422</v>
      </c>
      <c r="AA303" s="232" t="s">
        <v>423</v>
      </c>
      <c r="AB303" s="42" t="s">
        <v>424</v>
      </c>
      <c r="AC303" s="232"/>
      <c r="AD303" s="232"/>
      <c r="AE303" s="232"/>
      <c r="AF303" s="232" t="s">
        <v>445</v>
      </c>
      <c r="AG303" s="38">
        <v>0</v>
      </c>
      <c r="AI303" s="46"/>
    </row>
    <row r="304" spans="1:35" s="45" customFormat="1" ht="24" x14ac:dyDescent="0.25">
      <c r="A304" s="29">
        <v>302</v>
      </c>
      <c r="B304" s="29" t="s">
        <v>407</v>
      </c>
      <c r="C304" s="229" t="s">
        <v>407</v>
      </c>
      <c r="D304" s="30">
        <v>0</v>
      </c>
      <c r="E304" s="30">
        <v>0</v>
      </c>
      <c r="F304" s="229"/>
      <c r="G304" s="31" t="s">
        <v>408</v>
      </c>
      <c r="H304" s="228" t="s">
        <v>1137</v>
      </c>
      <c r="I304" s="229" t="s">
        <v>469</v>
      </c>
      <c r="J304" s="229"/>
      <c r="K304" s="229"/>
      <c r="L304" s="230" t="s">
        <v>1208</v>
      </c>
      <c r="M304" s="35"/>
      <c r="N304" s="35"/>
      <c r="O304" s="37"/>
      <c r="P304" s="37"/>
      <c r="Q304" s="35"/>
      <c r="R304" s="38">
        <v>0</v>
      </c>
      <c r="S304" s="39" t="s">
        <v>34</v>
      </c>
      <c r="T304" s="40"/>
      <c r="U304" s="40"/>
      <c r="V304" s="231"/>
      <c r="W304" s="232"/>
      <c r="X304" s="232"/>
      <c r="Y304" s="232"/>
      <c r="Z304" s="232" t="s">
        <v>422</v>
      </c>
      <c r="AA304" s="232" t="s">
        <v>423</v>
      </c>
      <c r="AB304" s="42" t="s">
        <v>424</v>
      </c>
      <c r="AC304" s="232"/>
      <c r="AD304" s="232"/>
      <c r="AE304" s="232"/>
      <c r="AF304" s="232" t="s">
        <v>445</v>
      </c>
      <c r="AG304" s="38">
        <v>0</v>
      </c>
      <c r="AI304" s="46"/>
    </row>
    <row r="305" spans="1:35" s="45" customFormat="1" ht="24" x14ac:dyDescent="0.25">
      <c r="A305" s="29">
        <v>303</v>
      </c>
      <c r="B305" s="29" t="s">
        <v>407</v>
      </c>
      <c r="C305" s="30" t="s">
        <v>407</v>
      </c>
      <c r="D305" s="30">
        <v>0</v>
      </c>
      <c r="E305" s="30">
        <v>0</v>
      </c>
      <c r="F305" s="30"/>
      <c r="G305" s="31" t="s">
        <v>408</v>
      </c>
      <c r="H305" s="228" t="s">
        <v>1137</v>
      </c>
      <c r="I305" s="30" t="s">
        <v>410</v>
      </c>
      <c r="J305" s="30"/>
      <c r="K305" s="30" t="s">
        <v>1209</v>
      </c>
      <c r="L305" s="239" t="s">
        <v>1210</v>
      </c>
      <c r="M305" s="35" t="s">
        <v>546</v>
      </c>
      <c r="N305" s="229" t="s">
        <v>1211</v>
      </c>
      <c r="O305" s="37" t="s">
        <v>1212</v>
      </c>
      <c r="P305" s="37" t="s">
        <v>415</v>
      </c>
      <c r="Q305" s="229" t="s">
        <v>1211</v>
      </c>
      <c r="R305" s="38">
        <v>0</v>
      </c>
      <c r="S305" s="39" t="s">
        <v>34</v>
      </c>
      <c r="T305" s="40"/>
      <c r="U305" s="40"/>
      <c r="V305" s="35"/>
      <c r="W305" s="48"/>
      <c r="X305" s="40"/>
      <c r="Y305" s="40"/>
      <c r="Z305" s="41" t="s">
        <v>422</v>
      </c>
      <c r="AA305" s="42" t="s">
        <v>423</v>
      </c>
      <c r="AB305" s="43" t="s">
        <v>424</v>
      </c>
      <c r="AC305" s="35"/>
      <c r="AD305" s="35"/>
      <c r="AE305" s="44"/>
      <c r="AF305" s="41" t="s">
        <v>445</v>
      </c>
      <c r="AG305" s="41">
        <v>0</v>
      </c>
      <c r="AI305" s="46"/>
    </row>
    <row r="306" spans="1:35" s="45" customFormat="1" ht="24" x14ac:dyDescent="0.25">
      <c r="A306" s="29">
        <v>304</v>
      </c>
      <c r="B306" s="29" t="s">
        <v>407</v>
      </c>
      <c r="C306" s="30" t="s">
        <v>407</v>
      </c>
      <c r="D306" s="30">
        <v>0</v>
      </c>
      <c r="E306" s="30">
        <v>0</v>
      </c>
      <c r="F306" s="30"/>
      <c r="G306" s="31" t="s">
        <v>408</v>
      </c>
      <c r="H306" s="228" t="s">
        <v>1137</v>
      </c>
      <c r="I306" s="30" t="s">
        <v>410</v>
      </c>
      <c r="J306" s="30"/>
      <c r="K306" s="30" t="s">
        <v>1213</v>
      </c>
      <c r="L306" s="239" t="s">
        <v>1214</v>
      </c>
      <c r="M306" s="35" t="s">
        <v>546</v>
      </c>
      <c r="N306" s="229" t="s">
        <v>1215</v>
      </c>
      <c r="O306" s="37" t="s">
        <v>1212</v>
      </c>
      <c r="P306" s="37" t="s">
        <v>415</v>
      </c>
      <c r="Q306" s="229" t="s">
        <v>1215</v>
      </c>
      <c r="R306" s="38">
        <v>0</v>
      </c>
      <c r="S306" s="39" t="s">
        <v>34</v>
      </c>
      <c r="T306" s="40"/>
      <c r="U306" s="40"/>
      <c r="V306" s="35"/>
      <c r="W306" s="48"/>
      <c r="X306" s="40"/>
      <c r="Y306" s="40"/>
      <c r="Z306" s="41" t="s">
        <v>422</v>
      </c>
      <c r="AA306" s="42" t="s">
        <v>423</v>
      </c>
      <c r="AB306" s="43" t="s">
        <v>424</v>
      </c>
      <c r="AC306" s="35"/>
      <c r="AD306" s="35"/>
      <c r="AE306" s="44"/>
      <c r="AF306" s="41" t="s">
        <v>445</v>
      </c>
      <c r="AG306" s="41">
        <v>0</v>
      </c>
      <c r="AI306" s="46"/>
    </row>
    <row r="307" spans="1:35" s="45" customFormat="1" ht="24" x14ac:dyDescent="0.25">
      <c r="A307" s="29">
        <v>305</v>
      </c>
      <c r="B307" s="29" t="s">
        <v>407</v>
      </c>
      <c r="C307" s="30" t="s">
        <v>407</v>
      </c>
      <c r="D307" s="30">
        <v>0</v>
      </c>
      <c r="E307" s="30">
        <v>0</v>
      </c>
      <c r="F307" s="30"/>
      <c r="G307" s="31" t="s">
        <v>408</v>
      </c>
      <c r="H307" s="228" t="s">
        <v>1137</v>
      </c>
      <c r="I307" s="30" t="s">
        <v>410</v>
      </c>
      <c r="J307" s="30"/>
      <c r="K307" s="30" t="s">
        <v>1216</v>
      </c>
      <c r="L307" s="239" t="s">
        <v>1217</v>
      </c>
      <c r="M307" s="35" t="s">
        <v>546</v>
      </c>
      <c r="N307" s="229" t="s">
        <v>1218</v>
      </c>
      <c r="O307" s="37" t="s">
        <v>1212</v>
      </c>
      <c r="P307" s="37" t="s">
        <v>415</v>
      </c>
      <c r="Q307" s="229" t="s">
        <v>1218</v>
      </c>
      <c r="R307" s="38">
        <v>0</v>
      </c>
      <c r="S307" s="39" t="s">
        <v>34</v>
      </c>
      <c r="T307" s="40"/>
      <c r="U307" s="40"/>
      <c r="V307" s="35"/>
      <c r="W307" s="48"/>
      <c r="X307" s="40"/>
      <c r="Y307" s="40"/>
      <c r="Z307" s="41" t="s">
        <v>422</v>
      </c>
      <c r="AA307" s="42" t="s">
        <v>423</v>
      </c>
      <c r="AB307" s="43" t="s">
        <v>424</v>
      </c>
      <c r="AC307" s="35"/>
      <c r="AD307" s="35"/>
      <c r="AE307" s="44"/>
      <c r="AF307" s="41" t="s">
        <v>445</v>
      </c>
      <c r="AG307" s="41">
        <v>0</v>
      </c>
      <c r="AI307" s="46"/>
    </row>
    <row r="308" spans="1:35" s="45" customFormat="1" ht="24" x14ac:dyDescent="0.25">
      <c r="A308" s="29">
        <v>306</v>
      </c>
      <c r="B308" s="29" t="s">
        <v>407</v>
      </c>
      <c r="C308" s="30" t="s">
        <v>407</v>
      </c>
      <c r="D308" s="30">
        <v>0</v>
      </c>
      <c r="E308" s="30">
        <v>0</v>
      </c>
      <c r="F308" s="30"/>
      <c r="G308" s="31" t="s">
        <v>408</v>
      </c>
      <c r="H308" s="228" t="s">
        <v>1137</v>
      </c>
      <c r="I308" s="30" t="s">
        <v>410</v>
      </c>
      <c r="J308" s="30"/>
      <c r="K308" s="30" t="s">
        <v>1219</v>
      </c>
      <c r="L308" s="239" t="s">
        <v>1220</v>
      </c>
      <c r="M308" s="35" t="s">
        <v>546</v>
      </c>
      <c r="N308" s="229" t="s">
        <v>1221</v>
      </c>
      <c r="O308" s="37" t="s">
        <v>1212</v>
      </c>
      <c r="P308" s="37" t="s">
        <v>415</v>
      </c>
      <c r="Q308" s="229" t="s">
        <v>1221</v>
      </c>
      <c r="R308" s="38">
        <v>0</v>
      </c>
      <c r="S308" s="39" t="s">
        <v>34</v>
      </c>
      <c r="T308" s="40"/>
      <c r="U308" s="40"/>
      <c r="V308" s="35"/>
      <c r="W308" s="48"/>
      <c r="X308" s="40"/>
      <c r="Y308" s="40"/>
      <c r="Z308" s="41" t="s">
        <v>422</v>
      </c>
      <c r="AA308" s="42" t="s">
        <v>423</v>
      </c>
      <c r="AB308" s="43" t="s">
        <v>424</v>
      </c>
      <c r="AC308" s="35"/>
      <c r="AD308" s="35"/>
      <c r="AE308" s="44"/>
      <c r="AF308" s="41" t="s">
        <v>445</v>
      </c>
      <c r="AG308" s="41">
        <v>0</v>
      </c>
      <c r="AI308" s="46"/>
    </row>
    <row r="309" spans="1:35" s="45" customFormat="1" ht="24" x14ac:dyDescent="0.25">
      <c r="A309" s="29">
        <v>307</v>
      </c>
      <c r="B309" s="29" t="s">
        <v>407</v>
      </c>
      <c r="C309" s="30" t="s">
        <v>407</v>
      </c>
      <c r="D309" s="30">
        <v>0</v>
      </c>
      <c r="E309" s="30">
        <v>0</v>
      </c>
      <c r="F309" s="30"/>
      <c r="G309" s="31" t="s">
        <v>408</v>
      </c>
      <c r="H309" s="228" t="s">
        <v>1137</v>
      </c>
      <c r="I309" s="30" t="s">
        <v>410</v>
      </c>
      <c r="J309" s="30"/>
      <c r="K309" s="30" t="s">
        <v>1222</v>
      </c>
      <c r="L309" s="239" t="s">
        <v>1223</v>
      </c>
      <c r="M309" s="35" t="s">
        <v>546</v>
      </c>
      <c r="N309" s="35" t="s">
        <v>1224</v>
      </c>
      <c r="O309" s="35" t="s">
        <v>1225</v>
      </c>
      <c r="P309" s="37" t="s">
        <v>415</v>
      </c>
      <c r="Q309" s="35" t="s">
        <v>1224</v>
      </c>
      <c r="R309" s="38">
        <v>0</v>
      </c>
      <c r="S309" s="39" t="s">
        <v>34</v>
      </c>
      <c r="T309" s="40"/>
      <c r="U309" s="40"/>
      <c r="V309" s="35"/>
      <c r="W309" s="48"/>
      <c r="X309" s="40"/>
      <c r="Y309" s="40"/>
      <c r="Z309" s="41" t="s">
        <v>422</v>
      </c>
      <c r="AA309" s="42" t="s">
        <v>423</v>
      </c>
      <c r="AB309" s="43" t="s">
        <v>424</v>
      </c>
      <c r="AC309" s="35"/>
      <c r="AD309" s="35"/>
      <c r="AE309" s="44"/>
      <c r="AF309" s="41" t="s">
        <v>445</v>
      </c>
      <c r="AG309" s="41">
        <v>0</v>
      </c>
      <c r="AI309" s="46"/>
    </row>
    <row r="310" spans="1:35" s="45" customFormat="1" ht="24" x14ac:dyDescent="0.25">
      <c r="A310" s="29">
        <v>308</v>
      </c>
      <c r="B310" s="29" t="s">
        <v>407</v>
      </c>
      <c r="C310" s="30" t="s">
        <v>407</v>
      </c>
      <c r="D310" s="30">
        <v>0</v>
      </c>
      <c r="E310" s="30">
        <v>0</v>
      </c>
      <c r="F310" s="30"/>
      <c r="G310" s="31" t="s">
        <v>408</v>
      </c>
      <c r="H310" s="228" t="s">
        <v>1137</v>
      </c>
      <c r="I310" s="30" t="s">
        <v>410</v>
      </c>
      <c r="J310" s="30"/>
      <c r="K310" s="30"/>
      <c r="L310" s="101" t="s">
        <v>1226</v>
      </c>
      <c r="M310" s="35" t="s">
        <v>412</v>
      </c>
      <c r="N310" s="35" t="s">
        <v>1227</v>
      </c>
      <c r="O310" s="229">
        <v>63599</v>
      </c>
      <c r="P310" s="37" t="s">
        <v>415</v>
      </c>
      <c r="Q310" s="35" t="s">
        <v>1227</v>
      </c>
      <c r="R310" s="38">
        <v>0</v>
      </c>
      <c r="S310" s="39" t="s">
        <v>34</v>
      </c>
      <c r="T310" s="40"/>
      <c r="U310" s="40"/>
      <c r="V310" s="35"/>
      <c r="W310" s="48"/>
      <c r="X310" s="40"/>
      <c r="Y310" s="40"/>
      <c r="Z310" s="41" t="s">
        <v>422</v>
      </c>
      <c r="AA310" s="42" t="s">
        <v>423</v>
      </c>
      <c r="AB310" s="43" t="s">
        <v>424</v>
      </c>
      <c r="AC310" s="35"/>
      <c r="AD310" s="35"/>
      <c r="AE310" s="44"/>
      <c r="AF310" s="41" t="s">
        <v>445</v>
      </c>
      <c r="AG310" s="41">
        <v>0</v>
      </c>
      <c r="AI310" s="46"/>
    </row>
    <row r="311" spans="1:35" s="45" customFormat="1" ht="24" x14ac:dyDescent="0.25">
      <c r="A311" s="29">
        <v>309</v>
      </c>
      <c r="B311" s="29" t="s">
        <v>407</v>
      </c>
      <c r="C311" s="30" t="s">
        <v>407</v>
      </c>
      <c r="D311" s="30">
        <v>0</v>
      </c>
      <c r="E311" s="30">
        <v>0</v>
      </c>
      <c r="F311" s="30"/>
      <c r="G311" s="31" t="s">
        <v>408</v>
      </c>
      <c r="H311" s="228" t="s">
        <v>1137</v>
      </c>
      <c r="I311" s="30" t="s">
        <v>410</v>
      </c>
      <c r="J311" s="30"/>
      <c r="K311" s="30" t="s">
        <v>1228</v>
      </c>
      <c r="L311" s="101" t="s">
        <v>1229</v>
      </c>
      <c r="M311" s="35" t="s">
        <v>412</v>
      </c>
      <c r="N311" s="35" t="s">
        <v>1230</v>
      </c>
      <c r="O311" s="35" t="s">
        <v>1231</v>
      </c>
      <c r="P311" s="37" t="s">
        <v>415</v>
      </c>
      <c r="Q311" s="35" t="s">
        <v>1230</v>
      </c>
      <c r="R311" s="38">
        <v>0</v>
      </c>
      <c r="S311" s="39" t="s">
        <v>34</v>
      </c>
      <c r="T311" s="40"/>
      <c r="U311" s="40"/>
      <c r="V311" s="35"/>
      <c r="W311" s="48"/>
      <c r="X311" s="40"/>
      <c r="Y311" s="40"/>
      <c r="Z311" s="41" t="s">
        <v>422</v>
      </c>
      <c r="AA311" s="42" t="s">
        <v>423</v>
      </c>
      <c r="AB311" s="43" t="s">
        <v>424</v>
      </c>
      <c r="AC311" s="35"/>
      <c r="AD311" s="35"/>
      <c r="AE311" s="44"/>
      <c r="AF311" s="41" t="s">
        <v>445</v>
      </c>
      <c r="AG311" s="41">
        <v>0</v>
      </c>
      <c r="AI311" s="46"/>
    </row>
    <row r="312" spans="1:35" s="45" customFormat="1" ht="24" x14ac:dyDescent="0.25">
      <c r="A312" s="29">
        <v>310</v>
      </c>
      <c r="B312" s="29" t="s">
        <v>407</v>
      </c>
      <c r="C312" s="229" t="s">
        <v>407</v>
      </c>
      <c r="D312" s="30">
        <v>0</v>
      </c>
      <c r="E312" s="30">
        <v>0</v>
      </c>
      <c r="F312" s="229"/>
      <c r="G312" s="31" t="s">
        <v>408</v>
      </c>
      <c r="H312" s="228" t="s">
        <v>1137</v>
      </c>
      <c r="I312" s="229" t="s">
        <v>469</v>
      </c>
      <c r="J312" s="229"/>
      <c r="K312" s="229"/>
      <c r="L312" s="230" t="s">
        <v>1232</v>
      </c>
      <c r="M312" s="35"/>
      <c r="N312" s="35" t="s">
        <v>1233</v>
      </c>
      <c r="O312" s="37" t="s">
        <v>1231</v>
      </c>
      <c r="P312" s="37" t="s">
        <v>415</v>
      </c>
      <c r="Q312" s="35" t="s">
        <v>1233</v>
      </c>
      <c r="R312" s="38">
        <v>0</v>
      </c>
      <c r="S312" s="39" t="s">
        <v>34</v>
      </c>
      <c r="T312" s="40"/>
      <c r="U312" s="40"/>
      <c r="V312" s="231"/>
      <c r="W312" s="232"/>
      <c r="X312" s="232"/>
      <c r="Y312" s="232"/>
      <c r="Z312" s="232" t="s">
        <v>422</v>
      </c>
      <c r="AA312" s="232" t="s">
        <v>423</v>
      </c>
      <c r="AB312" s="42" t="s">
        <v>424</v>
      </c>
      <c r="AC312" s="232"/>
      <c r="AD312" s="232"/>
      <c r="AE312" s="232"/>
      <c r="AF312" s="232" t="s">
        <v>445</v>
      </c>
      <c r="AG312" s="38">
        <v>0</v>
      </c>
      <c r="AI312" s="46"/>
    </row>
    <row r="313" spans="1:35" s="45" customFormat="1" ht="24" x14ac:dyDescent="0.25">
      <c r="A313" s="29">
        <v>311</v>
      </c>
      <c r="B313" s="29" t="s">
        <v>407</v>
      </c>
      <c r="C313" s="30" t="s">
        <v>407</v>
      </c>
      <c r="D313" s="30">
        <v>0</v>
      </c>
      <c r="E313" s="30">
        <v>0</v>
      </c>
      <c r="F313" s="30"/>
      <c r="G313" s="31" t="s">
        <v>408</v>
      </c>
      <c r="H313" s="228" t="s">
        <v>1137</v>
      </c>
      <c r="I313" s="30" t="s">
        <v>410</v>
      </c>
      <c r="J313" s="30"/>
      <c r="K313" s="30" t="s">
        <v>1234</v>
      </c>
      <c r="L313" s="101" t="s">
        <v>1235</v>
      </c>
      <c r="M313" s="35" t="s">
        <v>412</v>
      </c>
      <c r="N313" s="35" t="s">
        <v>1236</v>
      </c>
      <c r="O313" s="35" t="s">
        <v>1225</v>
      </c>
      <c r="P313" s="37" t="s">
        <v>415</v>
      </c>
      <c r="Q313" s="35" t="s">
        <v>1236</v>
      </c>
      <c r="R313" s="38">
        <v>0</v>
      </c>
      <c r="S313" s="39" t="s">
        <v>34</v>
      </c>
      <c r="T313" s="40"/>
      <c r="U313" s="40"/>
      <c r="V313" s="35"/>
      <c r="W313" s="48"/>
      <c r="X313" s="40"/>
      <c r="Y313" s="40"/>
      <c r="Z313" s="41" t="s">
        <v>422</v>
      </c>
      <c r="AA313" s="42" t="s">
        <v>423</v>
      </c>
      <c r="AB313" s="43" t="s">
        <v>424</v>
      </c>
      <c r="AC313" s="35"/>
      <c r="AD313" s="35"/>
      <c r="AE313" s="44"/>
      <c r="AF313" s="41" t="s">
        <v>445</v>
      </c>
      <c r="AG313" s="41">
        <v>0</v>
      </c>
      <c r="AI313" s="46"/>
    </row>
    <row r="314" spans="1:35" s="45" customFormat="1" ht="24" x14ac:dyDescent="0.25">
      <c r="A314" s="29">
        <v>312</v>
      </c>
      <c r="B314" s="29" t="s">
        <v>407</v>
      </c>
      <c r="C314" s="30" t="s">
        <v>407</v>
      </c>
      <c r="D314" s="30">
        <v>0</v>
      </c>
      <c r="E314" s="30">
        <v>0</v>
      </c>
      <c r="F314" s="30"/>
      <c r="G314" s="31" t="s">
        <v>408</v>
      </c>
      <c r="H314" s="228" t="s">
        <v>1137</v>
      </c>
      <c r="I314" s="30" t="s">
        <v>469</v>
      </c>
      <c r="J314" s="30"/>
      <c r="K314" s="30" t="s">
        <v>1237</v>
      </c>
      <c r="L314" s="240" t="s">
        <v>1238</v>
      </c>
      <c r="M314" s="35" t="s">
        <v>546</v>
      </c>
      <c r="N314" s="35" t="s">
        <v>1239</v>
      </c>
      <c r="O314" s="35" t="s">
        <v>1225</v>
      </c>
      <c r="P314" s="37" t="s">
        <v>415</v>
      </c>
      <c r="Q314" s="35" t="s">
        <v>1239</v>
      </c>
      <c r="R314" s="38">
        <v>0</v>
      </c>
      <c r="S314" s="39" t="s">
        <v>34</v>
      </c>
      <c r="T314" s="40"/>
      <c r="U314" s="40"/>
      <c r="V314" s="35"/>
      <c r="W314" s="48"/>
      <c r="X314" s="40"/>
      <c r="Y314" s="40"/>
      <c r="Z314" s="41" t="s">
        <v>422</v>
      </c>
      <c r="AA314" s="42" t="s">
        <v>423</v>
      </c>
      <c r="AB314" s="43" t="s">
        <v>424</v>
      </c>
      <c r="AC314" s="35"/>
      <c r="AD314" s="35"/>
      <c r="AE314" s="44"/>
      <c r="AF314" s="41" t="s">
        <v>445</v>
      </c>
      <c r="AG314" s="41">
        <v>0</v>
      </c>
      <c r="AI314" s="46"/>
    </row>
    <row r="315" spans="1:35" s="45" customFormat="1" ht="24" x14ac:dyDescent="0.25">
      <c r="A315" s="29">
        <v>313</v>
      </c>
      <c r="B315" s="29" t="s">
        <v>407</v>
      </c>
      <c r="C315" s="30" t="s">
        <v>407</v>
      </c>
      <c r="D315" s="30">
        <v>0</v>
      </c>
      <c r="E315" s="30">
        <v>0</v>
      </c>
      <c r="F315" s="30"/>
      <c r="G315" s="31" t="s">
        <v>408</v>
      </c>
      <c r="H315" s="228" t="s">
        <v>1137</v>
      </c>
      <c r="I315" s="30" t="s">
        <v>410</v>
      </c>
      <c r="J315" s="30"/>
      <c r="K315" s="30"/>
      <c r="L315" s="241" t="s">
        <v>1240</v>
      </c>
      <c r="M315" s="35"/>
      <c r="N315" s="35" t="s">
        <v>1241</v>
      </c>
      <c r="O315" s="37" t="s">
        <v>415</v>
      </c>
      <c r="P315" s="37" t="s">
        <v>415</v>
      </c>
      <c r="Q315" s="35" t="s">
        <v>1241</v>
      </c>
      <c r="R315" s="38">
        <v>0</v>
      </c>
      <c r="S315" s="39" t="s">
        <v>34</v>
      </c>
      <c r="T315" s="40"/>
      <c r="U315" s="40"/>
      <c r="V315" s="47"/>
      <c r="W315" s="30" t="s">
        <v>421</v>
      </c>
      <c r="X315" s="30"/>
      <c r="Y315" s="40"/>
      <c r="Z315" s="41" t="s">
        <v>422</v>
      </c>
      <c r="AA315" s="42" t="s">
        <v>423</v>
      </c>
      <c r="AB315" s="43" t="s">
        <v>424</v>
      </c>
      <c r="AC315" s="35"/>
      <c r="AD315" s="35"/>
      <c r="AE315" s="44"/>
      <c r="AF315" s="41" t="s">
        <v>445</v>
      </c>
      <c r="AG315" s="41">
        <v>0</v>
      </c>
      <c r="AI315" s="46"/>
    </row>
    <row r="316" spans="1:35" s="45" customFormat="1" ht="24" x14ac:dyDescent="0.25">
      <c r="A316" s="29">
        <v>314</v>
      </c>
      <c r="B316" s="29" t="s">
        <v>407</v>
      </c>
      <c r="C316" s="229" t="s">
        <v>407</v>
      </c>
      <c r="D316" s="30">
        <v>0</v>
      </c>
      <c r="E316" s="30">
        <v>0</v>
      </c>
      <c r="F316" s="229"/>
      <c r="G316" s="31" t="s">
        <v>408</v>
      </c>
      <c r="H316" s="228" t="s">
        <v>1137</v>
      </c>
      <c r="I316" s="229" t="s">
        <v>469</v>
      </c>
      <c r="J316" s="229"/>
      <c r="K316" s="229"/>
      <c r="L316" s="230" t="s">
        <v>1242</v>
      </c>
      <c r="M316" s="35"/>
      <c r="N316" s="35" t="s">
        <v>1243</v>
      </c>
      <c r="O316" s="37">
        <v>62484</v>
      </c>
      <c r="P316" s="37" t="s">
        <v>415</v>
      </c>
      <c r="Q316" s="35" t="s">
        <v>1243</v>
      </c>
      <c r="R316" s="38">
        <v>0</v>
      </c>
      <c r="S316" s="39" t="s">
        <v>34</v>
      </c>
      <c r="T316" s="40"/>
      <c r="U316" s="40"/>
      <c r="V316" s="231"/>
      <c r="W316" s="232"/>
      <c r="X316" s="232"/>
      <c r="Y316" s="232"/>
      <c r="Z316" s="232" t="s">
        <v>422</v>
      </c>
      <c r="AA316" s="232" t="s">
        <v>423</v>
      </c>
      <c r="AB316" s="42" t="s">
        <v>424</v>
      </c>
      <c r="AC316" s="232"/>
      <c r="AD316" s="232"/>
      <c r="AE316" s="232"/>
      <c r="AF316" s="232" t="s">
        <v>445</v>
      </c>
      <c r="AG316" s="38">
        <v>0</v>
      </c>
      <c r="AI316" s="46"/>
    </row>
    <row r="317" spans="1:35" s="45" customFormat="1" ht="24" x14ac:dyDescent="0.25">
      <c r="A317" s="29">
        <v>315</v>
      </c>
      <c r="B317" s="29" t="s">
        <v>407</v>
      </c>
      <c r="C317" s="229"/>
      <c r="D317" s="30">
        <v>0</v>
      </c>
      <c r="E317" s="30">
        <v>0</v>
      </c>
      <c r="F317" s="229" t="s">
        <v>437</v>
      </c>
      <c r="G317" s="31" t="s">
        <v>438</v>
      </c>
      <c r="H317" s="228" t="s">
        <v>1137</v>
      </c>
      <c r="I317" s="229" t="s">
        <v>469</v>
      </c>
      <c r="J317" s="229"/>
      <c r="K317" s="229"/>
      <c r="L317" s="230" t="s">
        <v>1244</v>
      </c>
      <c r="M317" s="35"/>
      <c r="N317" s="35" t="s">
        <v>1245</v>
      </c>
      <c r="O317" s="37" t="s">
        <v>415</v>
      </c>
      <c r="P317" s="37" t="s">
        <v>415</v>
      </c>
      <c r="Q317" s="35" t="s">
        <v>1245</v>
      </c>
      <c r="R317" s="38">
        <v>0</v>
      </c>
      <c r="S317" s="39" t="s">
        <v>34</v>
      </c>
      <c r="T317" s="40"/>
      <c r="U317" s="40"/>
      <c r="V317" s="231"/>
      <c r="W317" s="232"/>
      <c r="X317" s="232"/>
      <c r="Y317" s="232"/>
      <c r="Z317" s="232" t="s">
        <v>422</v>
      </c>
      <c r="AA317" s="232" t="s">
        <v>423</v>
      </c>
      <c r="AB317" s="42" t="s">
        <v>424</v>
      </c>
      <c r="AC317" s="232"/>
      <c r="AD317" s="232"/>
      <c r="AE317" s="232"/>
      <c r="AF317" s="232" t="s">
        <v>445</v>
      </c>
      <c r="AG317" s="38">
        <v>0</v>
      </c>
      <c r="AI317" s="46"/>
    </row>
    <row r="318" spans="1:35" s="45" customFormat="1" ht="24" x14ac:dyDescent="0.25">
      <c r="A318" s="29">
        <v>316</v>
      </c>
      <c r="B318" s="29"/>
      <c r="C318" s="229" t="s">
        <v>407</v>
      </c>
      <c r="D318" s="30">
        <v>0</v>
      </c>
      <c r="E318" s="30">
        <v>0</v>
      </c>
      <c r="F318" s="229"/>
      <c r="G318" s="31" t="s">
        <v>408</v>
      </c>
      <c r="H318" s="228" t="s">
        <v>1137</v>
      </c>
      <c r="I318" s="229" t="s">
        <v>469</v>
      </c>
      <c r="J318" s="229"/>
      <c r="K318" s="229"/>
      <c r="L318" s="230" t="s">
        <v>1244</v>
      </c>
      <c r="M318" s="35"/>
      <c r="N318" s="35" t="s">
        <v>1246</v>
      </c>
      <c r="O318" s="37" t="s">
        <v>415</v>
      </c>
      <c r="P318" s="37" t="s">
        <v>415</v>
      </c>
      <c r="Q318" s="35" t="s">
        <v>1246</v>
      </c>
      <c r="R318" s="38">
        <v>0</v>
      </c>
      <c r="S318" s="39" t="s">
        <v>34</v>
      </c>
      <c r="T318" s="40"/>
      <c r="U318" s="40"/>
      <c r="V318" s="231"/>
      <c r="W318" s="232"/>
      <c r="X318" s="232"/>
      <c r="Y318" s="232"/>
      <c r="Z318" s="232" t="s">
        <v>422</v>
      </c>
      <c r="AA318" s="232" t="s">
        <v>423</v>
      </c>
      <c r="AB318" s="42" t="s">
        <v>424</v>
      </c>
      <c r="AC318" s="232"/>
      <c r="AD318" s="232"/>
      <c r="AE318" s="232"/>
      <c r="AF318" s="232" t="s">
        <v>445</v>
      </c>
      <c r="AG318" s="38">
        <v>0</v>
      </c>
      <c r="AI318" s="46"/>
    </row>
    <row r="319" spans="1:35" s="45" customFormat="1" ht="24" x14ac:dyDescent="0.25">
      <c r="A319" s="29">
        <v>317</v>
      </c>
      <c r="B319" s="29" t="s">
        <v>407</v>
      </c>
      <c r="C319" s="229" t="s">
        <v>407</v>
      </c>
      <c r="D319" s="30">
        <v>0</v>
      </c>
      <c r="E319" s="30">
        <v>0</v>
      </c>
      <c r="F319" s="229"/>
      <c r="G319" s="31" t="s">
        <v>408</v>
      </c>
      <c r="H319" s="228" t="s">
        <v>1137</v>
      </c>
      <c r="I319" s="229" t="s">
        <v>469</v>
      </c>
      <c r="J319" s="229">
        <v>4.1100000000000003</v>
      </c>
      <c r="K319" s="229"/>
      <c r="L319" s="230" t="s">
        <v>1247</v>
      </c>
      <c r="M319" s="35"/>
      <c r="N319" s="35" t="s">
        <v>1248</v>
      </c>
      <c r="O319" s="37" t="s">
        <v>1249</v>
      </c>
      <c r="P319" s="37" t="s">
        <v>415</v>
      </c>
      <c r="Q319" s="35" t="s">
        <v>1248</v>
      </c>
      <c r="R319" s="38">
        <v>0</v>
      </c>
      <c r="S319" s="39" t="s">
        <v>34</v>
      </c>
      <c r="T319" s="40"/>
      <c r="U319" s="40"/>
      <c r="V319" s="231"/>
      <c r="W319" s="232"/>
      <c r="X319" s="232"/>
      <c r="Y319" s="232"/>
      <c r="Z319" s="232" t="s">
        <v>422</v>
      </c>
      <c r="AA319" s="232" t="s">
        <v>423</v>
      </c>
      <c r="AB319" s="42" t="s">
        <v>424</v>
      </c>
      <c r="AC319" s="232"/>
      <c r="AD319" s="232"/>
      <c r="AE319" s="232"/>
      <c r="AF319" s="232" t="s">
        <v>445</v>
      </c>
      <c r="AG319" s="38">
        <v>0</v>
      </c>
      <c r="AI319" s="46"/>
    </row>
    <row r="320" spans="1:35" s="45" customFormat="1" ht="24" x14ac:dyDescent="0.25">
      <c r="A320" s="29">
        <v>318</v>
      </c>
      <c r="B320" s="29" t="s">
        <v>407</v>
      </c>
      <c r="C320" s="29"/>
      <c r="D320" s="30">
        <v>0</v>
      </c>
      <c r="E320" s="30">
        <v>0</v>
      </c>
      <c r="F320" s="29" t="s">
        <v>437</v>
      </c>
      <c r="G320" s="31" t="s">
        <v>438</v>
      </c>
      <c r="H320" s="228" t="s">
        <v>1137</v>
      </c>
      <c r="I320" s="29" t="s">
        <v>410</v>
      </c>
      <c r="J320" s="29">
        <v>4.1100000000000003</v>
      </c>
      <c r="K320" s="29"/>
      <c r="L320" s="241" t="s">
        <v>1250</v>
      </c>
      <c r="M320" s="35"/>
      <c r="N320" s="35" t="s">
        <v>1251</v>
      </c>
      <c r="O320" s="37" t="s">
        <v>415</v>
      </c>
      <c r="P320" s="37" t="s">
        <v>415</v>
      </c>
      <c r="Q320" s="35" t="s">
        <v>1251</v>
      </c>
      <c r="R320" s="38">
        <v>0</v>
      </c>
      <c r="S320" s="39" t="s">
        <v>34</v>
      </c>
      <c r="T320" s="40"/>
      <c r="U320" s="40"/>
      <c r="V320" s="47"/>
      <c r="W320" s="30" t="s">
        <v>421</v>
      </c>
      <c r="X320" s="30"/>
      <c r="Y320" s="40"/>
      <c r="Z320" s="41" t="s">
        <v>422</v>
      </c>
      <c r="AA320" s="226">
        <v>545</v>
      </c>
      <c r="AB320" s="43" t="s">
        <v>424</v>
      </c>
      <c r="AC320" s="35"/>
      <c r="AD320" s="35"/>
      <c r="AE320" s="44"/>
      <c r="AF320" s="41" t="s">
        <v>445</v>
      </c>
      <c r="AG320" s="41">
        <v>0</v>
      </c>
      <c r="AI320" s="46"/>
    </row>
    <row r="321" spans="1:35" s="45" customFormat="1" ht="24" x14ac:dyDescent="0.25">
      <c r="A321" s="30">
        <v>319</v>
      </c>
      <c r="B321" s="30"/>
      <c r="C321" s="30" t="s">
        <v>407</v>
      </c>
      <c r="D321" s="30">
        <v>0</v>
      </c>
      <c r="E321" s="30">
        <v>0</v>
      </c>
      <c r="F321" s="30"/>
      <c r="G321" s="31" t="s">
        <v>408</v>
      </c>
      <c r="H321" s="228" t="s">
        <v>1137</v>
      </c>
      <c r="I321" s="30" t="s">
        <v>410</v>
      </c>
      <c r="J321" s="30">
        <v>9.11</v>
      </c>
      <c r="K321" s="30"/>
      <c r="L321" s="241" t="s">
        <v>1250</v>
      </c>
      <c r="M321" s="35"/>
      <c r="N321" s="35" t="s">
        <v>1252</v>
      </c>
      <c r="O321" s="37" t="s">
        <v>415</v>
      </c>
      <c r="P321" s="37" t="s">
        <v>415</v>
      </c>
      <c r="Q321" s="35" t="s">
        <v>1252</v>
      </c>
      <c r="R321" s="38">
        <v>0</v>
      </c>
      <c r="S321" s="39" t="s">
        <v>34</v>
      </c>
      <c r="T321" s="40"/>
      <c r="U321" s="40"/>
      <c r="V321" s="47"/>
      <c r="W321" s="30" t="s">
        <v>421</v>
      </c>
      <c r="X321" s="30"/>
      <c r="Y321" s="40"/>
      <c r="Z321" s="41" t="s">
        <v>422</v>
      </c>
      <c r="AA321" s="226">
        <v>545</v>
      </c>
      <c r="AB321" s="43" t="s">
        <v>424</v>
      </c>
      <c r="AC321" s="35"/>
      <c r="AD321" s="35"/>
      <c r="AE321" s="44"/>
      <c r="AF321" s="41" t="s">
        <v>445</v>
      </c>
      <c r="AG321" s="41">
        <v>0</v>
      </c>
      <c r="AI321" s="46"/>
    </row>
    <row r="322" spans="1:35" s="45" customFormat="1" ht="24" x14ac:dyDescent="0.25">
      <c r="A322" s="29">
        <v>320</v>
      </c>
      <c r="B322" s="29" t="s">
        <v>407</v>
      </c>
      <c r="C322" s="30" t="s">
        <v>407</v>
      </c>
      <c r="D322" s="30">
        <v>0</v>
      </c>
      <c r="E322" s="30">
        <v>0</v>
      </c>
      <c r="F322" s="30"/>
      <c r="G322" s="31" t="s">
        <v>408</v>
      </c>
      <c r="H322" s="228" t="s">
        <v>1137</v>
      </c>
      <c r="I322" s="30" t="s">
        <v>410</v>
      </c>
      <c r="J322" s="30"/>
      <c r="K322" s="30"/>
      <c r="L322" s="241" t="s">
        <v>1253</v>
      </c>
      <c r="M322" s="35" t="s">
        <v>412</v>
      </c>
      <c r="N322" s="35" t="s">
        <v>1254</v>
      </c>
      <c r="O322" s="37" t="s">
        <v>415</v>
      </c>
      <c r="P322" s="37" t="s">
        <v>415</v>
      </c>
      <c r="Q322" s="35" t="s">
        <v>1254</v>
      </c>
      <c r="R322" s="38">
        <v>0</v>
      </c>
      <c r="S322" s="39" t="s">
        <v>34</v>
      </c>
      <c r="T322" s="40"/>
      <c r="U322" s="40"/>
      <c r="V322" s="47"/>
      <c r="W322" s="30" t="s">
        <v>421</v>
      </c>
      <c r="X322" s="30"/>
      <c r="Y322" s="40"/>
      <c r="Z322" s="41"/>
      <c r="AA322" s="42"/>
      <c r="AB322" s="43"/>
      <c r="AC322" s="35"/>
      <c r="AD322" s="35"/>
      <c r="AE322" s="44"/>
      <c r="AF322" s="41" t="s">
        <v>445</v>
      </c>
      <c r="AG322" s="41">
        <v>0</v>
      </c>
      <c r="AI322" s="46"/>
    </row>
    <row r="323" spans="1:35" s="45" customFormat="1" x14ac:dyDescent="0.25">
      <c r="A323" s="29">
        <v>321</v>
      </c>
      <c r="B323" s="29" t="s">
        <v>407</v>
      </c>
      <c r="C323" s="229" t="s">
        <v>407</v>
      </c>
      <c r="D323" s="30">
        <v>0</v>
      </c>
      <c r="E323" s="30">
        <v>0</v>
      </c>
      <c r="F323" s="229"/>
      <c r="G323" s="31" t="s">
        <v>408</v>
      </c>
      <c r="H323" s="228" t="s">
        <v>1137</v>
      </c>
      <c r="I323" s="229" t="s">
        <v>469</v>
      </c>
      <c r="J323" s="229"/>
      <c r="K323" s="229"/>
      <c r="L323" s="230" t="s">
        <v>1255</v>
      </c>
      <c r="M323" s="35"/>
      <c r="N323" s="35" t="s">
        <v>1256</v>
      </c>
      <c r="O323" s="37"/>
      <c r="P323" s="37" t="s">
        <v>415</v>
      </c>
      <c r="Q323" s="35" t="s">
        <v>1256</v>
      </c>
      <c r="R323" s="38">
        <v>0</v>
      </c>
      <c r="S323" s="39" t="s">
        <v>34</v>
      </c>
      <c r="T323" s="40"/>
      <c r="U323" s="40"/>
      <c r="V323" s="231"/>
      <c r="W323" s="232"/>
      <c r="X323" s="232"/>
      <c r="Y323" s="232"/>
      <c r="Z323" s="232"/>
      <c r="AA323" s="232"/>
      <c r="AB323" s="42"/>
      <c r="AC323" s="232"/>
      <c r="AD323" s="232"/>
      <c r="AE323" s="232"/>
      <c r="AF323" s="232"/>
      <c r="AG323" s="38">
        <v>0</v>
      </c>
    </row>
    <row r="324" spans="1:35" s="45" customFormat="1" x14ac:dyDescent="0.25">
      <c r="A324" s="29">
        <v>322</v>
      </c>
      <c r="B324" s="29" t="s">
        <v>407</v>
      </c>
      <c r="C324" s="229" t="s">
        <v>407</v>
      </c>
      <c r="D324" s="30">
        <v>0</v>
      </c>
      <c r="E324" s="30">
        <v>0</v>
      </c>
      <c r="F324" s="229"/>
      <c r="G324" s="31" t="s">
        <v>408</v>
      </c>
      <c r="H324" s="228" t="s">
        <v>1137</v>
      </c>
      <c r="I324" s="229" t="s">
        <v>469</v>
      </c>
      <c r="J324" s="229"/>
      <c r="K324" s="229"/>
      <c r="L324" s="230" t="s">
        <v>1257</v>
      </c>
      <c r="M324" s="35"/>
      <c r="N324" s="35" t="s">
        <v>1258</v>
      </c>
      <c r="O324" s="37" t="s">
        <v>415</v>
      </c>
      <c r="P324" s="37" t="s">
        <v>415</v>
      </c>
      <c r="Q324" s="35" t="s">
        <v>1258</v>
      </c>
      <c r="R324" s="38">
        <v>0</v>
      </c>
      <c r="S324" s="39" t="s">
        <v>34</v>
      </c>
      <c r="T324" s="40"/>
      <c r="U324" s="40"/>
      <c r="V324" s="231"/>
      <c r="W324" s="232"/>
      <c r="X324" s="232"/>
      <c r="Y324" s="232"/>
      <c r="Z324" s="232"/>
      <c r="AA324" s="232"/>
      <c r="AB324" s="42"/>
      <c r="AC324" s="232"/>
      <c r="AD324" s="232"/>
      <c r="AE324" s="232"/>
      <c r="AF324" s="232"/>
      <c r="AG324" s="38">
        <v>0</v>
      </c>
    </row>
    <row r="325" spans="1:35" s="45" customFormat="1" x14ac:dyDescent="0.25">
      <c r="A325" s="29">
        <v>323</v>
      </c>
      <c r="B325" s="29" t="s">
        <v>407</v>
      </c>
      <c r="C325" s="229" t="s">
        <v>407</v>
      </c>
      <c r="D325" s="30">
        <v>0</v>
      </c>
      <c r="E325" s="30">
        <v>0</v>
      </c>
      <c r="F325" s="229"/>
      <c r="G325" s="31" t="s">
        <v>408</v>
      </c>
      <c r="H325" s="228" t="s">
        <v>1137</v>
      </c>
      <c r="I325" s="229" t="s">
        <v>469</v>
      </c>
      <c r="J325" s="229"/>
      <c r="K325" s="229"/>
      <c r="L325" s="230" t="s">
        <v>1259</v>
      </c>
      <c r="M325" s="35"/>
      <c r="N325" s="35" t="s">
        <v>1260</v>
      </c>
      <c r="O325" s="37" t="s">
        <v>415</v>
      </c>
      <c r="P325" s="37" t="s">
        <v>415</v>
      </c>
      <c r="Q325" s="35" t="s">
        <v>1260</v>
      </c>
      <c r="R325" s="38">
        <v>0</v>
      </c>
      <c r="S325" s="39" t="s">
        <v>34</v>
      </c>
      <c r="T325" s="40"/>
      <c r="U325" s="40"/>
      <c r="V325" s="231"/>
      <c r="W325" s="232"/>
      <c r="X325" s="232"/>
      <c r="Y325" s="232"/>
      <c r="Z325" s="232"/>
      <c r="AA325" s="232"/>
      <c r="AB325" s="42"/>
      <c r="AC325" s="232"/>
      <c r="AD325" s="232"/>
      <c r="AE325" s="232"/>
      <c r="AF325" s="232"/>
      <c r="AG325" s="38">
        <v>0</v>
      </c>
    </row>
    <row r="326" spans="1:35" s="45" customFormat="1" x14ac:dyDescent="0.25">
      <c r="A326" s="29">
        <v>324</v>
      </c>
      <c r="B326" s="29" t="s">
        <v>407</v>
      </c>
      <c r="C326" s="229" t="s">
        <v>407</v>
      </c>
      <c r="D326" s="30">
        <v>0</v>
      </c>
      <c r="E326" s="30">
        <v>0</v>
      </c>
      <c r="F326" s="229"/>
      <c r="G326" s="31" t="s">
        <v>408</v>
      </c>
      <c r="H326" s="228" t="s">
        <v>1137</v>
      </c>
      <c r="I326" s="229" t="s">
        <v>469</v>
      </c>
      <c r="J326" s="229"/>
      <c r="K326" s="229"/>
      <c r="L326" s="230" t="s">
        <v>1261</v>
      </c>
      <c r="M326" s="35"/>
      <c r="N326" s="35" t="s">
        <v>1243</v>
      </c>
      <c r="O326" s="37">
        <v>62484</v>
      </c>
      <c r="P326" s="37" t="s">
        <v>415</v>
      </c>
      <c r="Q326" s="35" t="s">
        <v>1243</v>
      </c>
      <c r="R326" s="38">
        <v>0</v>
      </c>
      <c r="S326" s="39" t="s">
        <v>34</v>
      </c>
      <c r="T326" s="40"/>
      <c r="U326" s="40"/>
      <c r="V326" s="231"/>
      <c r="W326" s="232"/>
      <c r="X326" s="232"/>
      <c r="Y326" s="232"/>
      <c r="Z326" s="232"/>
      <c r="AA326" s="232"/>
      <c r="AB326" s="42"/>
      <c r="AC326" s="232"/>
      <c r="AD326" s="232"/>
      <c r="AE326" s="232"/>
      <c r="AF326" s="232"/>
      <c r="AG326" s="38">
        <v>0</v>
      </c>
    </row>
    <row r="327" spans="1:35" s="45" customFormat="1" x14ac:dyDescent="0.25">
      <c r="A327" s="29">
        <v>325</v>
      </c>
      <c r="B327" s="29" t="s">
        <v>407</v>
      </c>
      <c r="C327" s="229" t="s">
        <v>407</v>
      </c>
      <c r="D327" s="30">
        <v>0</v>
      </c>
      <c r="E327" s="30">
        <v>0</v>
      </c>
      <c r="F327" s="229"/>
      <c r="G327" s="31" t="s">
        <v>408</v>
      </c>
      <c r="H327" s="228" t="s">
        <v>1262</v>
      </c>
      <c r="I327" s="229" t="s">
        <v>469</v>
      </c>
      <c r="J327" s="229"/>
      <c r="K327" s="229"/>
      <c r="L327" s="230" t="s">
        <v>1263</v>
      </c>
      <c r="M327" s="35"/>
      <c r="N327" s="35" t="s">
        <v>1264</v>
      </c>
      <c r="O327" s="37" t="s">
        <v>415</v>
      </c>
      <c r="P327" s="37" t="s">
        <v>415</v>
      </c>
      <c r="Q327" s="35" t="s">
        <v>1264</v>
      </c>
      <c r="R327" s="38">
        <v>0</v>
      </c>
      <c r="S327" s="39" t="s">
        <v>34</v>
      </c>
      <c r="T327" s="40"/>
      <c r="U327" s="40"/>
      <c r="V327" s="231"/>
      <c r="W327" s="232"/>
      <c r="X327" s="232"/>
      <c r="Y327" s="232"/>
      <c r="Z327" s="232"/>
      <c r="AA327" s="232"/>
      <c r="AB327" s="42"/>
      <c r="AC327" s="232"/>
      <c r="AD327" s="232"/>
      <c r="AE327" s="232"/>
      <c r="AF327" s="232"/>
      <c r="AG327" s="38">
        <v>0</v>
      </c>
    </row>
    <row r="328" spans="1:35" s="45" customFormat="1" x14ac:dyDescent="0.25">
      <c r="A328" s="29">
        <v>326</v>
      </c>
      <c r="B328" s="29" t="s">
        <v>407</v>
      </c>
      <c r="C328" s="229" t="s">
        <v>407</v>
      </c>
      <c r="D328" s="30">
        <v>0</v>
      </c>
      <c r="E328" s="30">
        <v>0</v>
      </c>
      <c r="F328" s="229"/>
      <c r="G328" s="31" t="s">
        <v>408</v>
      </c>
      <c r="H328" s="228" t="s">
        <v>1179</v>
      </c>
      <c r="I328" s="229" t="s">
        <v>469</v>
      </c>
      <c r="J328" s="229"/>
      <c r="K328" s="229"/>
      <c r="L328" s="230" t="s">
        <v>1265</v>
      </c>
      <c r="M328" s="35"/>
      <c r="N328" s="35" t="s">
        <v>1266</v>
      </c>
      <c r="O328" s="37"/>
      <c r="P328" s="37" t="s">
        <v>415</v>
      </c>
      <c r="Q328" s="35" t="s">
        <v>1266</v>
      </c>
      <c r="R328" s="38">
        <v>0</v>
      </c>
      <c r="S328" s="39" t="s">
        <v>34</v>
      </c>
      <c r="T328" s="40"/>
      <c r="U328" s="40"/>
      <c r="V328" s="231"/>
      <c r="W328" s="232"/>
      <c r="X328" s="232"/>
      <c r="Y328" s="232"/>
      <c r="Z328" s="232"/>
      <c r="AA328" s="232"/>
      <c r="AB328" s="42"/>
      <c r="AC328" s="232"/>
      <c r="AD328" s="232"/>
      <c r="AE328" s="232"/>
      <c r="AF328" s="232"/>
      <c r="AG328" s="38">
        <v>0</v>
      </c>
    </row>
    <row r="329" spans="1:35" s="45" customFormat="1" x14ac:dyDescent="0.25">
      <c r="A329" s="29">
        <v>327</v>
      </c>
      <c r="B329" s="29" t="s">
        <v>407</v>
      </c>
      <c r="C329" s="229" t="s">
        <v>407</v>
      </c>
      <c r="D329" s="30">
        <v>0</v>
      </c>
      <c r="E329" s="30">
        <v>0</v>
      </c>
      <c r="F329" s="229"/>
      <c r="G329" s="31" t="s">
        <v>408</v>
      </c>
      <c r="H329" s="228" t="s">
        <v>1179</v>
      </c>
      <c r="I329" s="229" t="s">
        <v>469</v>
      </c>
      <c r="J329" s="229"/>
      <c r="K329" s="229"/>
      <c r="L329" s="230" t="s">
        <v>1267</v>
      </c>
      <c r="M329" s="35"/>
      <c r="N329" s="35" t="s">
        <v>1268</v>
      </c>
      <c r="O329" s="37"/>
      <c r="P329" s="37" t="s">
        <v>415</v>
      </c>
      <c r="Q329" s="35" t="s">
        <v>1268</v>
      </c>
      <c r="R329" s="38">
        <v>0</v>
      </c>
      <c r="S329" s="39" t="s">
        <v>34</v>
      </c>
      <c r="T329" s="40"/>
      <c r="U329" s="40"/>
      <c r="V329" s="231"/>
      <c r="W329" s="232"/>
      <c r="X329" s="232"/>
      <c r="Y329" s="232"/>
      <c r="Z329" s="232"/>
      <c r="AA329" s="232"/>
      <c r="AB329" s="42"/>
      <c r="AC329" s="232"/>
      <c r="AD329" s="232"/>
      <c r="AE329" s="232"/>
      <c r="AF329" s="232"/>
      <c r="AG329" s="38">
        <v>0</v>
      </c>
    </row>
    <row r="330" spans="1:35" s="45" customFormat="1" x14ac:dyDescent="0.25">
      <c r="A330" s="29">
        <v>328</v>
      </c>
      <c r="B330" s="29" t="s">
        <v>407</v>
      </c>
      <c r="C330" s="229" t="s">
        <v>407</v>
      </c>
      <c r="D330" s="30">
        <v>0</v>
      </c>
      <c r="E330" s="30">
        <v>0</v>
      </c>
      <c r="F330" s="229"/>
      <c r="G330" s="31" t="s">
        <v>408</v>
      </c>
      <c r="H330" s="228" t="s">
        <v>1179</v>
      </c>
      <c r="I330" s="229" t="s">
        <v>469</v>
      </c>
      <c r="J330" s="229"/>
      <c r="K330" s="229"/>
      <c r="L330" s="230" t="s">
        <v>1269</v>
      </c>
      <c r="M330" s="35"/>
      <c r="N330" s="35" t="s">
        <v>1270</v>
      </c>
      <c r="O330" s="37"/>
      <c r="P330" s="37" t="s">
        <v>415</v>
      </c>
      <c r="Q330" s="35" t="s">
        <v>1270</v>
      </c>
      <c r="R330" s="38">
        <v>0</v>
      </c>
      <c r="S330" s="39" t="s">
        <v>34</v>
      </c>
      <c r="T330" s="40"/>
      <c r="U330" s="40"/>
      <c r="V330" s="231"/>
      <c r="W330" s="232"/>
      <c r="X330" s="232"/>
      <c r="Y330" s="232"/>
      <c r="Z330" s="232"/>
      <c r="AA330" s="232"/>
      <c r="AB330" s="42"/>
      <c r="AC330" s="232"/>
      <c r="AD330" s="232"/>
      <c r="AE330" s="232"/>
      <c r="AF330" s="232"/>
      <c r="AG330" s="38">
        <v>0</v>
      </c>
    </row>
    <row r="331" spans="1:35" s="45" customFormat="1" x14ac:dyDescent="0.25">
      <c r="A331" s="29">
        <v>329</v>
      </c>
      <c r="B331" s="29" t="s">
        <v>407</v>
      </c>
      <c r="C331" s="229" t="s">
        <v>407</v>
      </c>
      <c r="D331" s="30">
        <v>0</v>
      </c>
      <c r="E331" s="30">
        <v>0</v>
      </c>
      <c r="F331" s="229"/>
      <c r="G331" s="31" t="s">
        <v>408</v>
      </c>
      <c r="H331" s="228" t="s">
        <v>1179</v>
      </c>
      <c r="I331" s="229" t="s">
        <v>469</v>
      </c>
      <c r="J331" s="229"/>
      <c r="K331" s="229"/>
      <c r="L331" s="230" t="s">
        <v>1271</v>
      </c>
      <c r="M331" s="35"/>
      <c r="N331" s="35" t="s">
        <v>1272</v>
      </c>
      <c r="O331" s="37"/>
      <c r="P331" s="37" t="s">
        <v>415</v>
      </c>
      <c r="Q331" s="35" t="s">
        <v>1272</v>
      </c>
      <c r="R331" s="38">
        <v>0</v>
      </c>
      <c r="S331" s="39" t="s">
        <v>34</v>
      </c>
      <c r="T331" s="40"/>
      <c r="U331" s="40"/>
      <c r="V331" s="231"/>
      <c r="W331" s="232"/>
      <c r="X331" s="232"/>
      <c r="Y331" s="232"/>
      <c r="Z331" s="232"/>
      <c r="AA331" s="232"/>
      <c r="AB331" s="42"/>
      <c r="AC331" s="232"/>
      <c r="AD331" s="232"/>
      <c r="AE331" s="232"/>
      <c r="AF331" s="232"/>
      <c r="AG331" s="38">
        <v>0</v>
      </c>
    </row>
    <row r="332" spans="1:35" s="45" customFormat="1" x14ac:dyDescent="0.25">
      <c r="A332" s="29">
        <v>330</v>
      </c>
      <c r="B332" s="29" t="s">
        <v>407</v>
      </c>
      <c r="C332" s="229" t="s">
        <v>407</v>
      </c>
      <c r="D332" s="30">
        <v>0</v>
      </c>
      <c r="E332" s="30">
        <v>0</v>
      </c>
      <c r="F332" s="229"/>
      <c r="G332" s="31" t="s">
        <v>408</v>
      </c>
      <c r="H332" s="228" t="s">
        <v>1179</v>
      </c>
      <c r="I332" s="229" t="s">
        <v>469</v>
      </c>
      <c r="J332" s="229"/>
      <c r="K332" s="229"/>
      <c r="L332" s="230" t="s">
        <v>1273</v>
      </c>
      <c r="M332" s="35"/>
      <c r="N332" s="35" t="s">
        <v>1274</v>
      </c>
      <c r="O332" s="37"/>
      <c r="P332" s="37" t="s">
        <v>415</v>
      </c>
      <c r="Q332" s="35" t="s">
        <v>1274</v>
      </c>
      <c r="R332" s="38">
        <v>0</v>
      </c>
      <c r="S332" s="39" t="s">
        <v>34</v>
      </c>
      <c r="T332" s="40"/>
      <c r="U332" s="40"/>
      <c r="V332" s="231"/>
      <c r="W332" s="232"/>
      <c r="X332" s="232"/>
      <c r="Y332" s="232"/>
      <c r="Z332" s="232"/>
      <c r="AA332" s="232"/>
      <c r="AB332" s="42"/>
      <c r="AC332" s="232"/>
      <c r="AD332" s="232"/>
      <c r="AE332" s="232"/>
      <c r="AF332" s="232"/>
      <c r="AG332" s="38">
        <v>0</v>
      </c>
    </row>
    <row r="333" spans="1:35" s="45" customFormat="1" x14ac:dyDescent="0.25">
      <c r="A333" s="29">
        <v>331</v>
      </c>
      <c r="B333" s="29" t="s">
        <v>407</v>
      </c>
      <c r="C333" s="229" t="s">
        <v>407</v>
      </c>
      <c r="D333" s="30">
        <v>0</v>
      </c>
      <c r="E333" s="30">
        <v>0</v>
      </c>
      <c r="F333" s="229"/>
      <c r="G333" s="31" t="s">
        <v>408</v>
      </c>
      <c r="H333" s="228" t="s">
        <v>1179</v>
      </c>
      <c r="I333" s="229" t="s">
        <v>469</v>
      </c>
      <c r="J333" s="229"/>
      <c r="K333" s="229"/>
      <c r="L333" s="230" t="s">
        <v>1275</v>
      </c>
      <c r="M333" s="35"/>
      <c r="N333" s="35" t="s">
        <v>1276</v>
      </c>
      <c r="O333" s="37"/>
      <c r="P333" s="37" t="s">
        <v>415</v>
      </c>
      <c r="Q333" s="35" t="s">
        <v>1276</v>
      </c>
      <c r="R333" s="38">
        <v>0</v>
      </c>
      <c r="S333" s="39" t="s">
        <v>34</v>
      </c>
      <c r="T333" s="40"/>
      <c r="U333" s="40"/>
      <c r="V333" s="231"/>
      <c r="W333" s="232"/>
      <c r="X333" s="232"/>
      <c r="Y333" s="232"/>
      <c r="Z333" s="232"/>
      <c r="AA333" s="232"/>
      <c r="AB333" s="42"/>
      <c r="AC333" s="232"/>
      <c r="AD333" s="232"/>
      <c r="AE333" s="232"/>
      <c r="AF333" s="232"/>
      <c r="AG333" s="38">
        <v>0</v>
      </c>
    </row>
    <row r="334" spans="1:35" s="45" customFormat="1" x14ac:dyDescent="0.25">
      <c r="A334" s="29">
        <v>332</v>
      </c>
      <c r="B334" s="29" t="s">
        <v>407</v>
      </c>
      <c r="C334" s="229" t="s">
        <v>407</v>
      </c>
      <c r="D334" s="30">
        <v>0</v>
      </c>
      <c r="E334" s="30">
        <v>0</v>
      </c>
      <c r="F334" s="229"/>
      <c r="G334" s="31" t="s">
        <v>408</v>
      </c>
      <c r="H334" s="228" t="s">
        <v>1179</v>
      </c>
      <c r="I334" s="229" t="s">
        <v>469</v>
      </c>
      <c r="J334" s="229"/>
      <c r="K334" s="229"/>
      <c r="L334" s="230" t="s">
        <v>1277</v>
      </c>
      <c r="M334" s="35"/>
      <c r="N334" s="35" t="s">
        <v>1278</v>
      </c>
      <c r="O334" s="37"/>
      <c r="P334" s="37" t="s">
        <v>415</v>
      </c>
      <c r="Q334" s="35" t="s">
        <v>1278</v>
      </c>
      <c r="R334" s="38">
        <v>0</v>
      </c>
      <c r="S334" s="39" t="s">
        <v>34</v>
      </c>
      <c r="T334" s="40"/>
      <c r="U334" s="40"/>
      <c r="V334" s="231"/>
      <c r="W334" s="232"/>
      <c r="X334" s="232"/>
      <c r="Y334" s="232"/>
      <c r="Z334" s="232"/>
      <c r="AA334" s="232"/>
      <c r="AB334" s="42"/>
      <c r="AC334" s="232"/>
      <c r="AD334" s="232"/>
      <c r="AE334" s="232"/>
      <c r="AF334" s="232"/>
      <c r="AG334" s="38">
        <v>0</v>
      </c>
    </row>
    <row r="335" spans="1:35" s="45" customFormat="1" x14ac:dyDescent="0.25">
      <c r="A335" s="29">
        <v>333</v>
      </c>
      <c r="B335" s="29" t="s">
        <v>407</v>
      </c>
      <c r="C335" s="229" t="s">
        <v>407</v>
      </c>
      <c r="D335" s="30">
        <v>0</v>
      </c>
      <c r="E335" s="30">
        <v>0</v>
      </c>
      <c r="F335" s="229"/>
      <c r="G335" s="31" t="s">
        <v>408</v>
      </c>
      <c r="H335" s="228" t="s">
        <v>1179</v>
      </c>
      <c r="I335" s="229" t="s">
        <v>469</v>
      </c>
      <c r="J335" s="229"/>
      <c r="K335" s="229"/>
      <c r="L335" s="230" t="s">
        <v>1279</v>
      </c>
      <c r="M335" s="35"/>
      <c r="N335" s="35" t="s">
        <v>1280</v>
      </c>
      <c r="O335" s="37"/>
      <c r="P335" s="37" t="s">
        <v>415</v>
      </c>
      <c r="Q335" s="35" t="s">
        <v>1280</v>
      </c>
      <c r="R335" s="38">
        <v>0</v>
      </c>
      <c r="S335" s="39" t="s">
        <v>34</v>
      </c>
      <c r="T335" s="40"/>
      <c r="U335" s="40"/>
      <c r="V335" s="231"/>
      <c r="W335" s="232"/>
      <c r="X335" s="232"/>
      <c r="Y335" s="232"/>
      <c r="Z335" s="232"/>
      <c r="AA335" s="232"/>
      <c r="AB335" s="42"/>
      <c r="AC335" s="232"/>
      <c r="AD335" s="232"/>
      <c r="AE335" s="232"/>
      <c r="AF335" s="232"/>
      <c r="AG335" s="38">
        <v>0</v>
      </c>
    </row>
    <row r="336" spans="1:35" s="45" customFormat="1" x14ac:dyDescent="0.25">
      <c r="A336" s="29">
        <v>334</v>
      </c>
      <c r="B336" s="29" t="s">
        <v>407</v>
      </c>
      <c r="C336" s="229" t="s">
        <v>407</v>
      </c>
      <c r="D336" s="30">
        <v>0</v>
      </c>
      <c r="E336" s="30">
        <v>0</v>
      </c>
      <c r="F336" s="229"/>
      <c r="G336" s="31" t="s">
        <v>408</v>
      </c>
      <c r="H336" s="228" t="s">
        <v>1179</v>
      </c>
      <c r="I336" s="229" t="s">
        <v>469</v>
      </c>
      <c r="J336" s="229"/>
      <c r="K336" s="229"/>
      <c r="L336" s="230" t="s">
        <v>1281</v>
      </c>
      <c r="M336" s="35"/>
      <c r="N336" s="35" t="s">
        <v>1282</v>
      </c>
      <c r="O336" s="37"/>
      <c r="P336" s="37" t="s">
        <v>415</v>
      </c>
      <c r="Q336" s="35" t="s">
        <v>1282</v>
      </c>
      <c r="R336" s="38">
        <v>0</v>
      </c>
      <c r="S336" s="39" t="s">
        <v>34</v>
      </c>
      <c r="T336" s="40"/>
      <c r="U336" s="40"/>
      <c r="V336" s="231"/>
      <c r="W336" s="232"/>
      <c r="X336" s="232"/>
      <c r="Y336" s="232"/>
      <c r="Z336" s="232"/>
      <c r="AA336" s="232"/>
      <c r="AB336" s="42"/>
      <c r="AC336" s="232"/>
      <c r="AD336" s="232"/>
      <c r="AE336" s="232"/>
      <c r="AF336" s="232"/>
      <c r="AG336" s="38">
        <v>0</v>
      </c>
    </row>
    <row r="337" spans="1:33" s="45" customFormat="1" x14ac:dyDescent="0.25">
      <c r="A337" s="29">
        <v>335</v>
      </c>
      <c r="B337" s="29" t="s">
        <v>407</v>
      </c>
      <c r="C337" s="229" t="s">
        <v>407</v>
      </c>
      <c r="D337" s="30">
        <v>0</v>
      </c>
      <c r="E337" s="30">
        <v>0</v>
      </c>
      <c r="F337" s="229"/>
      <c r="G337" s="31" t="s">
        <v>408</v>
      </c>
      <c r="H337" s="228" t="s">
        <v>1179</v>
      </c>
      <c r="I337" s="229" t="s">
        <v>469</v>
      </c>
      <c r="J337" s="229"/>
      <c r="K337" s="229"/>
      <c r="L337" s="230" t="s">
        <v>1283</v>
      </c>
      <c r="M337" s="35"/>
      <c r="N337" s="35" t="s">
        <v>1284</v>
      </c>
      <c r="O337" s="37"/>
      <c r="P337" s="37" t="s">
        <v>415</v>
      </c>
      <c r="Q337" s="35" t="s">
        <v>1284</v>
      </c>
      <c r="R337" s="38">
        <v>0</v>
      </c>
      <c r="S337" s="39" t="s">
        <v>34</v>
      </c>
      <c r="T337" s="40"/>
      <c r="U337" s="40"/>
      <c r="V337" s="231"/>
      <c r="W337" s="232"/>
      <c r="X337" s="232"/>
      <c r="Y337" s="232"/>
      <c r="Z337" s="232"/>
      <c r="AA337" s="232"/>
      <c r="AB337" s="42"/>
      <c r="AC337" s="232"/>
      <c r="AD337" s="232"/>
      <c r="AE337" s="232"/>
      <c r="AF337" s="232"/>
      <c r="AG337" s="38">
        <v>0</v>
      </c>
    </row>
    <row r="338" spans="1:33" s="45" customFormat="1" x14ac:dyDescent="0.25">
      <c r="A338" s="29">
        <v>336</v>
      </c>
      <c r="B338" s="29" t="s">
        <v>407</v>
      </c>
      <c r="C338" s="229" t="s">
        <v>407</v>
      </c>
      <c r="D338" s="30">
        <v>0</v>
      </c>
      <c r="E338" s="30">
        <v>0</v>
      </c>
      <c r="F338" s="229"/>
      <c r="G338" s="31" t="s">
        <v>408</v>
      </c>
      <c r="H338" s="228" t="s">
        <v>1179</v>
      </c>
      <c r="I338" s="229" t="s">
        <v>469</v>
      </c>
      <c r="J338" s="229"/>
      <c r="K338" s="229"/>
      <c r="L338" s="230" t="s">
        <v>1285</v>
      </c>
      <c r="M338" s="35"/>
      <c r="N338" s="35" t="s">
        <v>1286</v>
      </c>
      <c r="O338" s="37"/>
      <c r="P338" s="37" t="s">
        <v>415</v>
      </c>
      <c r="Q338" s="35" t="s">
        <v>1286</v>
      </c>
      <c r="R338" s="38">
        <v>0</v>
      </c>
      <c r="S338" s="39" t="s">
        <v>34</v>
      </c>
      <c r="T338" s="40"/>
      <c r="U338" s="40"/>
      <c r="V338" s="231"/>
      <c r="W338" s="232"/>
      <c r="X338" s="232"/>
      <c r="Y338" s="232"/>
      <c r="Z338" s="232"/>
      <c r="AA338" s="232"/>
      <c r="AB338" s="42"/>
      <c r="AC338" s="232"/>
      <c r="AD338" s="232"/>
      <c r="AE338" s="232"/>
      <c r="AF338" s="232"/>
      <c r="AG338" s="38">
        <v>0</v>
      </c>
    </row>
    <row r="339" spans="1:33" s="45" customFormat="1" x14ac:dyDescent="0.25">
      <c r="A339" s="29">
        <v>337</v>
      </c>
      <c r="B339" s="29" t="s">
        <v>407</v>
      </c>
      <c r="C339" s="229" t="s">
        <v>407</v>
      </c>
      <c r="D339" s="30">
        <v>0</v>
      </c>
      <c r="E339" s="30">
        <v>0</v>
      </c>
      <c r="F339" s="229"/>
      <c r="G339" s="31" t="s">
        <v>408</v>
      </c>
      <c r="H339" s="228" t="s">
        <v>1179</v>
      </c>
      <c r="I339" s="229" t="s">
        <v>469</v>
      </c>
      <c r="J339" s="229"/>
      <c r="K339" s="229"/>
      <c r="L339" s="230" t="s">
        <v>1287</v>
      </c>
      <c r="M339" s="35"/>
      <c r="N339" s="35" t="s">
        <v>1288</v>
      </c>
      <c r="O339" s="37"/>
      <c r="P339" s="37" t="s">
        <v>415</v>
      </c>
      <c r="Q339" s="35" t="s">
        <v>1288</v>
      </c>
      <c r="R339" s="38">
        <v>0</v>
      </c>
      <c r="S339" s="39" t="s">
        <v>34</v>
      </c>
      <c r="T339" s="40"/>
      <c r="U339" s="40"/>
      <c r="V339" s="231"/>
      <c r="W339" s="232"/>
      <c r="X339" s="232"/>
      <c r="Y339" s="232"/>
      <c r="Z339" s="232"/>
      <c r="AA339" s="232"/>
      <c r="AB339" s="42"/>
      <c r="AC339" s="232"/>
      <c r="AD339" s="232"/>
      <c r="AE339" s="232"/>
      <c r="AF339" s="232"/>
      <c r="AG339" s="38">
        <v>0</v>
      </c>
    </row>
    <row r="340" spans="1:33" s="45" customFormat="1" x14ac:dyDescent="0.25">
      <c r="A340" s="29">
        <v>338</v>
      </c>
      <c r="B340" s="29" t="s">
        <v>407</v>
      </c>
      <c r="C340" s="229" t="s">
        <v>407</v>
      </c>
      <c r="D340" s="30">
        <v>0</v>
      </c>
      <c r="E340" s="30">
        <v>0</v>
      </c>
      <c r="F340" s="229"/>
      <c r="G340" s="31" t="s">
        <v>408</v>
      </c>
      <c r="H340" s="228" t="s">
        <v>1179</v>
      </c>
      <c r="I340" s="229" t="s">
        <v>469</v>
      </c>
      <c r="J340" s="229"/>
      <c r="K340" s="229"/>
      <c r="L340" s="230" t="s">
        <v>1117</v>
      </c>
      <c r="M340" s="35"/>
      <c r="N340" s="35" t="s">
        <v>1289</v>
      </c>
      <c r="O340" s="37"/>
      <c r="P340" s="37" t="s">
        <v>415</v>
      </c>
      <c r="Q340" s="35" t="s">
        <v>1289</v>
      </c>
      <c r="R340" s="38">
        <v>0</v>
      </c>
      <c r="S340" s="39" t="s">
        <v>34</v>
      </c>
      <c r="T340" s="40"/>
      <c r="U340" s="40"/>
      <c r="V340" s="231"/>
      <c r="W340" s="232"/>
      <c r="X340" s="232"/>
      <c r="Y340" s="232"/>
      <c r="Z340" s="232"/>
      <c r="AA340" s="232"/>
      <c r="AB340" s="42"/>
      <c r="AC340" s="232"/>
      <c r="AD340" s="232"/>
      <c r="AE340" s="232"/>
      <c r="AF340" s="232"/>
      <c r="AG340" s="38">
        <v>0</v>
      </c>
    </row>
    <row r="341" spans="1:33" s="45" customFormat="1" x14ac:dyDescent="0.25">
      <c r="A341" s="29">
        <v>339</v>
      </c>
      <c r="B341" s="29" t="s">
        <v>407</v>
      </c>
      <c r="C341" s="229" t="s">
        <v>407</v>
      </c>
      <c r="D341" s="30">
        <v>0</v>
      </c>
      <c r="E341" s="30">
        <v>0</v>
      </c>
      <c r="F341" s="229"/>
      <c r="G341" s="31" t="s">
        <v>408</v>
      </c>
      <c r="H341" s="228" t="s">
        <v>1179</v>
      </c>
      <c r="I341" s="229" t="s">
        <v>469</v>
      </c>
      <c r="J341" s="229"/>
      <c r="K341" s="229"/>
      <c r="L341" s="230" t="s">
        <v>1290</v>
      </c>
      <c r="M341" s="35"/>
      <c r="N341" s="35" t="s">
        <v>1291</v>
      </c>
      <c r="O341" s="37"/>
      <c r="P341" s="37" t="s">
        <v>415</v>
      </c>
      <c r="Q341" s="35" t="s">
        <v>1291</v>
      </c>
      <c r="R341" s="38">
        <v>0</v>
      </c>
      <c r="S341" s="39" t="s">
        <v>34</v>
      </c>
      <c r="T341" s="40"/>
      <c r="U341" s="40"/>
      <c r="V341" s="231"/>
      <c r="W341" s="232"/>
      <c r="X341" s="232"/>
      <c r="Y341" s="232"/>
      <c r="Z341" s="232"/>
      <c r="AA341" s="232"/>
      <c r="AB341" s="42"/>
      <c r="AC341" s="232"/>
      <c r="AD341" s="232"/>
      <c r="AE341" s="232"/>
      <c r="AF341" s="232"/>
      <c r="AG341" s="38">
        <v>0</v>
      </c>
    </row>
    <row r="342" spans="1:33" s="45" customFormat="1" x14ac:dyDescent="0.25">
      <c r="A342" s="29">
        <v>340</v>
      </c>
      <c r="B342" s="29" t="s">
        <v>407</v>
      </c>
      <c r="C342" s="229" t="s">
        <v>407</v>
      </c>
      <c r="D342" s="30">
        <v>0</v>
      </c>
      <c r="E342" s="30">
        <v>0</v>
      </c>
      <c r="F342" s="229"/>
      <c r="G342" s="31" t="s">
        <v>408</v>
      </c>
      <c r="H342" s="228" t="s">
        <v>1179</v>
      </c>
      <c r="I342" s="229" t="s">
        <v>469</v>
      </c>
      <c r="J342" s="229"/>
      <c r="K342" s="229"/>
      <c r="L342" s="230" t="s">
        <v>1292</v>
      </c>
      <c r="M342" s="35"/>
      <c r="N342" s="35" t="s">
        <v>1293</v>
      </c>
      <c r="O342" s="37"/>
      <c r="P342" s="37" t="s">
        <v>415</v>
      </c>
      <c r="Q342" s="35" t="s">
        <v>1293</v>
      </c>
      <c r="R342" s="38">
        <v>0</v>
      </c>
      <c r="S342" s="39" t="s">
        <v>34</v>
      </c>
      <c r="T342" s="40"/>
      <c r="U342" s="40"/>
      <c r="V342" s="231"/>
      <c r="W342" s="232"/>
      <c r="X342" s="232"/>
      <c r="Y342" s="232"/>
      <c r="Z342" s="232"/>
      <c r="AA342" s="232"/>
      <c r="AB342" s="42"/>
      <c r="AC342" s="232"/>
      <c r="AD342" s="232"/>
      <c r="AE342" s="232"/>
      <c r="AF342" s="232"/>
      <c r="AG342" s="38">
        <v>0</v>
      </c>
    </row>
    <row r="343" spans="1:33" s="45" customFormat="1" x14ac:dyDescent="0.25">
      <c r="A343" s="29">
        <v>341</v>
      </c>
      <c r="B343" s="29" t="s">
        <v>407</v>
      </c>
      <c r="C343" s="229" t="s">
        <v>407</v>
      </c>
      <c r="D343" s="30">
        <v>0</v>
      </c>
      <c r="E343" s="30">
        <v>0</v>
      </c>
      <c r="F343" s="229"/>
      <c r="G343" s="31" t="s">
        <v>408</v>
      </c>
      <c r="H343" s="228" t="s">
        <v>1179</v>
      </c>
      <c r="I343" s="229" t="s">
        <v>410</v>
      </c>
      <c r="J343" s="229"/>
      <c r="K343" s="229"/>
      <c r="L343" s="230" t="s">
        <v>1294</v>
      </c>
      <c r="M343" s="35"/>
      <c r="N343" s="35" t="s">
        <v>1295</v>
      </c>
      <c r="O343" s="37" t="s">
        <v>415</v>
      </c>
      <c r="P343" s="37" t="s">
        <v>415</v>
      </c>
      <c r="Q343" s="35" t="s">
        <v>1295</v>
      </c>
      <c r="R343" s="38">
        <v>0</v>
      </c>
      <c r="S343" s="39" t="s">
        <v>34</v>
      </c>
      <c r="T343" s="40"/>
      <c r="U343" s="40"/>
      <c r="V343" s="231"/>
      <c r="W343" s="232"/>
      <c r="X343" s="232"/>
      <c r="Y343" s="232"/>
      <c r="Z343" s="232"/>
      <c r="AA343" s="232"/>
      <c r="AB343" s="42"/>
      <c r="AC343" s="232"/>
      <c r="AD343" s="232"/>
      <c r="AE343" s="232"/>
      <c r="AF343" s="232"/>
      <c r="AG343" s="38">
        <v>0</v>
      </c>
    </row>
    <row r="344" spans="1:33" s="45" customFormat="1" x14ac:dyDescent="0.25">
      <c r="A344" s="29">
        <v>342</v>
      </c>
      <c r="B344" s="29" t="s">
        <v>407</v>
      </c>
      <c r="C344" s="229" t="s">
        <v>407</v>
      </c>
      <c r="D344" s="30">
        <v>0</v>
      </c>
      <c r="E344" s="30">
        <v>0</v>
      </c>
      <c r="F344" s="229"/>
      <c r="G344" s="31" t="s">
        <v>408</v>
      </c>
      <c r="H344" s="228" t="s">
        <v>1179</v>
      </c>
      <c r="I344" s="229" t="s">
        <v>469</v>
      </c>
      <c r="J344" s="229"/>
      <c r="K344" s="229"/>
      <c r="L344" s="230" t="s">
        <v>1296</v>
      </c>
      <c r="M344" s="35"/>
      <c r="N344" s="35" t="s">
        <v>1297</v>
      </c>
      <c r="O344" s="37"/>
      <c r="P344" s="37" t="s">
        <v>415</v>
      </c>
      <c r="Q344" s="35" t="s">
        <v>1297</v>
      </c>
      <c r="R344" s="38">
        <v>0</v>
      </c>
      <c r="S344" s="39" t="s">
        <v>34</v>
      </c>
      <c r="T344" s="40"/>
      <c r="U344" s="40"/>
      <c r="V344" s="231"/>
      <c r="W344" s="232"/>
      <c r="X344" s="232"/>
      <c r="Y344" s="232"/>
      <c r="Z344" s="232"/>
      <c r="AA344" s="232"/>
      <c r="AB344" s="42"/>
      <c r="AC344" s="232"/>
      <c r="AD344" s="232"/>
      <c r="AE344" s="232"/>
      <c r="AF344" s="232"/>
      <c r="AG344" s="38">
        <v>0</v>
      </c>
    </row>
    <row r="345" spans="1:33" s="45" customFormat="1" x14ac:dyDescent="0.25">
      <c r="A345" s="29">
        <v>343</v>
      </c>
      <c r="B345" s="29" t="s">
        <v>407</v>
      </c>
      <c r="C345" s="229" t="s">
        <v>407</v>
      </c>
      <c r="D345" s="30">
        <v>0</v>
      </c>
      <c r="E345" s="30">
        <v>0</v>
      </c>
      <c r="F345" s="229"/>
      <c r="G345" s="31" t="s">
        <v>408</v>
      </c>
      <c r="H345" s="228" t="s">
        <v>1179</v>
      </c>
      <c r="I345" s="229" t="s">
        <v>469</v>
      </c>
      <c r="J345" s="229"/>
      <c r="K345" s="229"/>
      <c r="L345" s="230" t="s">
        <v>1298</v>
      </c>
      <c r="M345" s="35"/>
      <c r="N345" s="35" t="s">
        <v>1299</v>
      </c>
      <c r="O345" s="37"/>
      <c r="P345" s="37" t="s">
        <v>415</v>
      </c>
      <c r="Q345" s="35" t="s">
        <v>1299</v>
      </c>
      <c r="R345" s="38">
        <v>0</v>
      </c>
      <c r="S345" s="39" t="s">
        <v>34</v>
      </c>
      <c r="T345" s="40"/>
      <c r="U345" s="40"/>
      <c r="V345" s="231"/>
      <c r="W345" s="232"/>
      <c r="X345" s="232"/>
      <c r="Y345" s="232"/>
      <c r="Z345" s="232"/>
      <c r="AA345" s="232"/>
      <c r="AB345" s="42"/>
      <c r="AC345" s="232"/>
      <c r="AD345" s="232"/>
      <c r="AE345" s="232"/>
      <c r="AF345" s="232"/>
      <c r="AG345" s="38">
        <v>0</v>
      </c>
    </row>
    <row r="346" spans="1:33" s="45" customFormat="1" x14ac:dyDescent="0.25">
      <c r="A346" s="29">
        <v>344</v>
      </c>
      <c r="B346" s="29" t="s">
        <v>407</v>
      </c>
      <c r="C346" s="229" t="s">
        <v>407</v>
      </c>
      <c r="D346" s="30">
        <v>0</v>
      </c>
      <c r="E346" s="30">
        <v>0</v>
      </c>
      <c r="F346" s="229"/>
      <c r="G346" s="31" t="s">
        <v>408</v>
      </c>
      <c r="H346" s="228" t="s">
        <v>1179</v>
      </c>
      <c r="I346" s="229" t="s">
        <v>469</v>
      </c>
      <c r="J346" s="229"/>
      <c r="K346" s="229"/>
      <c r="L346" s="230" t="s">
        <v>1300</v>
      </c>
      <c r="M346" s="35"/>
      <c r="N346" s="35"/>
      <c r="O346" s="37"/>
      <c r="P346" s="37" t="s">
        <v>415</v>
      </c>
      <c r="Q346" s="35"/>
      <c r="R346" s="38">
        <v>0</v>
      </c>
      <c r="S346" s="39" t="s">
        <v>34</v>
      </c>
      <c r="T346" s="40"/>
      <c r="U346" s="40"/>
      <c r="V346" s="231"/>
      <c r="W346" s="232"/>
      <c r="X346" s="232"/>
      <c r="Y346" s="232"/>
      <c r="Z346" s="232"/>
      <c r="AA346" s="232"/>
      <c r="AB346" s="42"/>
      <c r="AC346" s="232"/>
      <c r="AD346" s="232"/>
      <c r="AE346" s="232"/>
      <c r="AF346" s="232"/>
      <c r="AG346" s="38">
        <v>0</v>
      </c>
    </row>
    <row r="347" spans="1:33" s="45" customFormat="1" x14ac:dyDescent="0.25">
      <c r="A347" s="29">
        <v>345</v>
      </c>
      <c r="B347" s="29" t="s">
        <v>407</v>
      </c>
      <c r="C347" s="229" t="s">
        <v>407</v>
      </c>
      <c r="D347" s="30">
        <v>0</v>
      </c>
      <c r="E347" s="30">
        <v>0</v>
      </c>
      <c r="F347" s="229"/>
      <c r="G347" s="31" t="s">
        <v>408</v>
      </c>
      <c r="H347" s="228" t="s">
        <v>1179</v>
      </c>
      <c r="I347" s="229" t="s">
        <v>469</v>
      </c>
      <c r="J347" s="229"/>
      <c r="K347" s="229"/>
      <c r="L347" s="230" t="s">
        <v>1301</v>
      </c>
      <c r="M347" s="35"/>
      <c r="N347" s="35" t="s">
        <v>1302</v>
      </c>
      <c r="O347" s="37"/>
      <c r="P347" s="37" t="s">
        <v>415</v>
      </c>
      <c r="Q347" s="35" t="s">
        <v>1302</v>
      </c>
      <c r="R347" s="38">
        <v>0</v>
      </c>
      <c r="S347" s="39" t="s">
        <v>34</v>
      </c>
      <c r="T347" s="40"/>
      <c r="U347" s="40"/>
      <c r="V347" s="231"/>
      <c r="W347" s="232"/>
      <c r="X347" s="232"/>
      <c r="Y347" s="232"/>
      <c r="Z347" s="232"/>
      <c r="AA347" s="232"/>
      <c r="AB347" s="42"/>
      <c r="AC347" s="232"/>
      <c r="AD347" s="232"/>
      <c r="AE347" s="232"/>
      <c r="AF347" s="232"/>
      <c r="AG347" s="38">
        <v>0</v>
      </c>
    </row>
    <row r="348" spans="1:33" s="45" customFormat="1" x14ac:dyDescent="0.25">
      <c r="A348" s="29">
        <v>346</v>
      </c>
      <c r="B348" s="29" t="s">
        <v>407</v>
      </c>
      <c r="C348" s="229" t="s">
        <v>407</v>
      </c>
      <c r="D348" s="30">
        <v>0</v>
      </c>
      <c r="E348" s="30">
        <v>0</v>
      </c>
      <c r="F348" s="229"/>
      <c r="G348" s="31" t="s">
        <v>408</v>
      </c>
      <c r="H348" s="228" t="s">
        <v>1179</v>
      </c>
      <c r="I348" s="229" t="s">
        <v>469</v>
      </c>
      <c r="J348" s="229"/>
      <c r="K348" s="229"/>
      <c r="L348" s="230" t="s">
        <v>1303</v>
      </c>
      <c r="M348" s="35"/>
      <c r="N348" s="35" t="s">
        <v>1304</v>
      </c>
      <c r="O348" s="37"/>
      <c r="P348" s="37" t="s">
        <v>415</v>
      </c>
      <c r="Q348" s="35" t="s">
        <v>1304</v>
      </c>
      <c r="R348" s="38">
        <v>0</v>
      </c>
      <c r="S348" s="39" t="s">
        <v>34</v>
      </c>
      <c r="T348" s="40"/>
      <c r="U348" s="40"/>
      <c r="V348" s="231"/>
      <c r="W348" s="232"/>
      <c r="X348" s="232"/>
      <c r="Y348" s="232"/>
      <c r="Z348" s="232"/>
      <c r="AA348" s="232"/>
      <c r="AB348" s="42"/>
      <c r="AC348" s="232"/>
      <c r="AD348" s="232"/>
      <c r="AE348" s="232"/>
      <c r="AF348" s="232"/>
      <c r="AG348" s="38">
        <v>0</v>
      </c>
    </row>
    <row r="349" spans="1:33" s="45" customFormat="1" x14ac:dyDescent="0.25">
      <c r="A349" s="29">
        <v>347</v>
      </c>
      <c r="B349" s="29" t="s">
        <v>407</v>
      </c>
      <c r="C349" s="229" t="s">
        <v>407</v>
      </c>
      <c r="D349" s="30">
        <v>0</v>
      </c>
      <c r="E349" s="30">
        <v>0</v>
      </c>
      <c r="F349" s="229"/>
      <c r="G349" s="31" t="s">
        <v>408</v>
      </c>
      <c r="H349" s="228" t="s">
        <v>1179</v>
      </c>
      <c r="I349" s="229" t="s">
        <v>469</v>
      </c>
      <c r="J349" s="229"/>
      <c r="K349" s="229"/>
      <c r="L349" s="230" t="s">
        <v>1305</v>
      </c>
      <c r="M349" s="35"/>
      <c r="N349" s="35" t="s">
        <v>1306</v>
      </c>
      <c r="O349" s="37"/>
      <c r="P349" s="37" t="s">
        <v>415</v>
      </c>
      <c r="Q349" s="35" t="s">
        <v>1306</v>
      </c>
      <c r="R349" s="38">
        <v>0</v>
      </c>
      <c r="S349" s="39" t="s">
        <v>34</v>
      </c>
      <c r="T349" s="40"/>
      <c r="U349" s="40"/>
      <c r="V349" s="231"/>
      <c r="W349" s="232"/>
      <c r="X349" s="232"/>
      <c r="Y349" s="232"/>
      <c r="Z349" s="232"/>
      <c r="AA349" s="232"/>
      <c r="AB349" s="42"/>
      <c r="AC349" s="232"/>
      <c r="AD349" s="232"/>
      <c r="AE349" s="232"/>
      <c r="AF349" s="232"/>
      <c r="AG349" s="38">
        <v>0</v>
      </c>
    </row>
    <row r="350" spans="1:33" s="45" customFormat="1" x14ac:dyDescent="0.25">
      <c r="A350" s="29">
        <v>348</v>
      </c>
      <c r="B350" s="29" t="s">
        <v>407</v>
      </c>
      <c r="C350" s="229" t="s">
        <v>407</v>
      </c>
      <c r="D350" s="30">
        <v>0</v>
      </c>
      <c r="E350" s="30">
        <v>0</v>
      </c>
      <c r="F350" s="229"/>
      <c r="G350" s="31" t="s">
        <v>408</v>
      </c>
      <c r="H350" s="228" t="s">
        <v>1179</v>
      </c>
      <c r="I350" s="229" t="s">
        <v>469</v>
      </c>
      <c r="J350" s="229"/>
      <c r="K350" s="229"/>
      <c r="L350" s="230" t="s">
        <v>1307</v>
      </c>
      <c r="M350" s="35"/>
      <c r="N350" s="35" t="s">
        <v>1282</v>
      </c>
      <c r="O350" s="37"/>
      <c r="P350" s="37" t="s">
        <v>415</v>
      </c>
      <c r="Q350" s="35" t="s">
        <v>1282</v>
      </c>
      <c r="R350" s="38">
        <v>0</v>
      </c>
      <c r="S350" s="39" t="s">
        <v>34</v>
      </c>
      <c r="T350" s="40"/>
      <c r="U350" s="40"/>
      <c r="V350" s="231"/>
      <c r="W350" s="232"/>
      <c r="X350" s="232"/>
      <c r="Y350" s="232"/>
      <c r="Z350" s="232"/>
      <c r="AA350" s="232"/>
      <c r="AB350" s="42"/>
      <c r="AC350" s="232"/>
      <c r="AD350" s="232"/>
      <c r="AE350" s="232"/>
      <c r="AF350" s="232"/>
      <c r="AG350" s="38">
        <v>0</v>
      </c>
    </row>
    <row r="351" spans="1:33" s="45" customFormat="1" x14ac:dyDescent="0.25">
      <c r="A351" s="29">
        <v>349</v>
      </c>
      <c r="B351" s="29" t="s">
        <v>407</v>
      </c>
      <c r="C351" s="229" t="s">
        <v>407</v>
      </c>
      <c r="D351" s="30">
        <v>0</v>
      </c>
      <c r="E351" s="30">
        <v>0</v>
      </c>
      <c r="F351" s="229"/>
      <c r="G351" s="31" t="s">
        <v>408</v>
      </c>
      <c r="H351" s="228" t="s">
        <v>1179</v>
      </c>
      <c r="I351" s="229" t="s">
        <v>469</v>
      </c>
      <c r="J351" s="229"/>
      <c r="K351" s="229"/>
      <c r="L351" s="230" t="s">
        <v>1308</v>
      </c>
      <c r="M351" s="35"/>
      <c r="N351" s="35" t="s">
        <v>1309</v>
      </c>
      <c r="O351" s="37"/>
      <c r="P351" s="37" t="s">
        <v>415</v>
      </c>
      <c r="Q351" s="35" t="s">
        <v>1309</v>
      </c>
      <c r="R351" s="38">
        <v>0</v>
      </c>
      <c r="S351" s="39" t="s">
        <v>34</v>
      </c>
      <c r="T351" s="40"/>
      <c r="U351" s="40"/>
      <c r="V351" s="231"/>
      <c r="W351" s="232"/>
      <c r="X351" s="232"/>
      <c r="Y351" s="232"/>
      <c r="Z351" s="232"/>
      <c r="AA351" s="232"/>
      <c r="AB351" s="42"/>
      <c r="AC351" s="232"/>
      <c r="AD351" s="232"/>
      <c r="AE351" s="232"/>
      <c r="AF351" s="232"/>
      <c r="AG351" s="38">
        <v>0</v>
      </c>
    </row>
    <row r="352" spans="1:33" s="45" customFormat="1" x14ac:dyDescent="0.25">
      <c r="A352" s="29">
        <v>350</v>
      </c>
      <c r="B352" s="29" t="s">
        <v>407</v>
      </c>
      <c r="C352" s="229" t="s">
        <v>407</v>
      </c>
      <c r="D352" s="30">
        <v>0</v>
      </c>
      <c r="E352" s="30">
        <v>0</v>
      </c>
      <c r="F352" s="229"/>
      <c r="G352" s="31" t="s">
        <v>408</v>
      </c>
      <c r="H352" s="228" t="s">
        <v>1179</v>
      </c>
      <c r="I352" s="229" t="s">
        <v>469</v>
      </c>
      <c r="J352" s="229"/>
      <c r="K352" s="229"/>
      <c r="L352" s="230" t="s">
        <v>1310</v>
      </c>
      <c r="M352" s="35"/>
      <c r="N352" s="35" t="s">
        <v>1311</v>
      </c>
      <c r="O352" s="37"/>
      <c r="P352" s="37" t="s">
        <v>415</v>
      </c>
      <c r="Q352" s="35" t="s">
        <v>1311</v>
      </c>
      <c r="R352" s="38">
        <v>0</v>
      </c>
      <c r="S352" s="39" t="s">
        <v>34</v>
      </c>
      <c r="T352" s="40"/>
      <c r="U352" s="40"/>
      <c r="V352" s="231"/>
      <c r="W352" s="232"/>
      <c r="X352" s="232"/>
      <c r="Y352" s="232"/>
      <c r="Z352" s="232"/>
      <c r="AA352" s="232"/>
      <c r="AB352" s="42"/>
      <c r="AC352" s="232"/>
      <c r="AD352" s="232"/>
      <c r="AE352" s="232"/>
      <c r="AF352" s="232"/>
      <c r="AG352" s="38">
        <v>0</v>
      </c>
    </row>
    <row r="353" spans="1:33" s="45" customFormat="1" x14ac:dyDescent="0.25">
      <c r="A353" s="29">
        <v>351</v>
      </c>
      <c r="B353" s="29" t="s">
        <v>407</v>
      </c>
      <c r="C353" s="229" t="s">
        <v>407</v>
      </c>
      <c r="D353" s="30">
        <v>0</v>
      </c>
      <c r="E353" s="30">
        <v>0</v>
      </c>
      <c r="F353" s="229"/>
      <c r="G353" s="31" t="s">
        <v>408</v>
      </c>
      <c r="H353" s="228" t="s">
        <v>1179</v>
      </c>
      <c r="I353" s="229" t="s">
        <v>469</v>
      </c>
      <c r="J353" s="229"/>
      <c r="K353" s="229"/>
      <c r="L353" s="230" t="s">
        <v>1312</v>
      </c>
      <c r="M353" s="35"/>
      <c r="N353" s="35" t="s">
        <v>1313</v>
      </c>
      <c r="O353" s="37" t="s">
        <v>415</v>
      </c>
      <c r="P353" s="37" t="s">
        <v>415</v>
      </c>
      <c r="Q353" s="35" t="s">
        <v>1313</v>
      </c>
      <c r="R353" s="38">
        <v>0</v>
      </c>
      <c r="S353" s="39" t="s">
        <v>34</v>
      </c>
      <c r="T353" s="40"/>
      <c r="U353" s="40"/>
      <c r="V353" s="231"/>
      <c r="W353" s="232"/>
      <c r="X353" s="232"/>
      <c r="Y353" s="232"/>
      <c r="Z353" s="232"/>
      <c r="AA353" s="232"/>
      <c r="AB353" s="42"/>
      <c r="AC353" s="232"/>
      <c r="AD353" s="232"/>
      <c r="AE353" s="232"/>
      <c r="AF353" s="232"/>
      <c r="AG353" s="38">
        <v>0</v>
      </c>
    </row>
    <row r="354" spans="1:33" s="45" customFormat="1" x14ac:dyDescent="0.25">
      <c r="A354" s="29">
        <v>352</v>
      </c>
      <c r="B354" s="29" t="s">
        <v>407</v>
      </c>
      <c r="C354" s="229" t="s">
        <v>407</v>
      </c>
      <c r="D354" s="30">
        <v>0</v>
      </c>
      <c r="E354" s="30">
        <v>0</v>
      </c>
      <c r="F354" s="229"/>
      <c r="G354" s="31" t="s">
        <v>408</v>
      </c>
      <c r="H354" s="228" t="s">
        <v>1179</v>
      </c>
      <c r="I354" s="229" t="s">
        <v>469</v>
      </c>
      <c r="J354" s="229"/>
      <c r="K354" s="229"/>
      <c r="L354" s="230" t="s">
        <v>1314</v>
      </c>
      <c r="M354" s="35"/>
      <c r="N354" s="35" t="s">
        <v>1315</v>
      </c>
      <c r="O354" s="37" t="s">
        <v>415</v>
      </c>
      <c r="P354" s="37" t="s">
        <v>415</v>
      </c>
      <c r="Q354" s="35" t="s">
        <v>1315</v>
      </c>
      <c r="R354" s="38">
        <v>0</v>
      </c>
      <c r="S354" s="39" t="s">
        <v>34</v>
      </c>
      <c r="T354" s="40"/>
      <c r="U354" s="40"/>
      <c r="V354" s="231"/>
      <c r="W354" s="232"/>
      <c r="X354" s="232"/>
      <c r="Y354" s="232"/>
      <c r="Z354" s="232"/>
      <c r="AA354" s="232"/>
      <c r="AB354" s="42"/>
      <c r="AC354" s="232"/>
      <c r="AD354" s="232"/>
      <c r="AE354" s="232"/>
      <c r="AF354" s="232"/>
      <c r="AG354" s="38">
        <v>0</v>
      </c>
    </row>
    <row r="355" spans="1:33" s="45" customFormat="1" x14ac:dyDescent="0.25">
      <c r="A355" s="29">
        <v>353</v>
      </c>
      <c r="B355" s="29" t="s">
        <v>407</v>
      </c>
      <c r="C355" s="229" t="s">
        <v>407</v>
      </c>
      <c r="D355" s="30">
        <v>0</v>
      </c>
      <c r="E355" s="30">
        <v>0</v>
      </c>
      <c r="F355" s="229"/>
      <c r="G355" s="31" t="s">
        <v>408</v>
      </c>
      <c r="H355" s="228" t="s">
        <v>1179</v>
      </c>
      <c r="I355" s="229" t="s">
        <v>469</v>
      </c>
      <c r="J355" s="229"/>
      <c r="K355" s="229"/>
      <c r="L355" s="230" t="s">
        <v>1316</v>
      </c>
      <c r="M355" s="35"/>
      <c r="N355" s="35" t="s">
        <v>1317</v>
      </c>
      <c r="O355" s="37" t="s">
        <v>415</v>
      </c>
      <c r="P355" s="37" t="s">
        <v>415</v>
      </c>
      <c r="Q355" s="35" t="s">
        <v>1317</v>
      </c>
      <c r="R355" s="38">
        <v>0</v>
      </c>
      <c r="S355" s="39" t="s">
        <v>34</v>
      </c>
      <c r="T355" s="40"/>
      <c r="U355" s="40"/>
      <c r="V355" s="231"/>
      <c r="W355" s="232"/>
      <c r="X355" s="232"/>
      <c r="Y355" s="232"/>
      <c r="Z355" s="232"/>
      <c r="AA355" s="232"/>
      <c r="AB355" s="42"/>
      <c r="AC355" s="232"/>
      <c r="AD355" s="232"/>
      <c r="AE355" s="232"/>
      <c r="AF355" s="232"/>
      <c r="AG355" s="38">
        <v>0</v>
      </c>
    </row>
    <row r="356" spans="1:33" s="45" customFormat="1" x14ac:dyDescent="0.25">
      <c r="A356" s="29">
        <v>354</v>
      </c>
      <c r="B356" s="29" t="s">
        <v>407</v>
      </c>
      <c r="C356" s="229" t="s">
        <v>407</v>
      </c>
      <c r="D356" s="30">
        <v>0</v>
      </c>
      <c r="E356" s="30">
        <v>0</v>
      </c>
      <c r="F356" s="229"/>
      <c r="G356" s="31" t="s">
        <v>408</v>
      </c>
      <c r="H356" s="228" t="s">
        <v>1179</v>
      </c>
      <c r="I356" s="229" t="s">
        <v>469</v>
      </c>
      <c r="J356" s="229"/>
      <c r="K356" s="229"/>
      <c r="L356" s="230" t="s">
        <v>1318</v>
      </c>
      <c r="M356" s="35"/>
      <c r="N356" s="35">
        <v>4602701</v>
      </c>
      <c r="O356" s="37"/>
      <c r="P356" s="37" t="s">
        <v>415</v>
      </c>
      <c r="Q356" s="35">
        <v>4602701</v>
      </c>
      <c r="R356" s="38">
        <v>0</v>
      </c>
      <c r="S356" s="39" t="s">
        <v>34</v>
      </c>
      <c r="T356" s="40"/>
      <c r="U356" s="40"/>
      <c r="V356" s="231"/>
      <c r="W356" s="232"/>
      <c r="X356" s="232"/>
      <c r="Y356" s="232"/>
      <c r="Z356" s="232"/>
      <c r="AA356" s="232"/>
      <c r="AB356" s="42"/>
      <c r="AC356" s="232"/>
      <c r="AD356" s="232"/>
      <c r="AE356" s="232"/>
      <c r="AF356" s="232"/>
      <c r="AG356" s="38">
        <v>0</v>
      </c>
    </row>
    <row r="357" spans="1:33" s="45" customFormat="1" x14ac:dyDescent="0.25">
      <c r="A357" s="29">
        <v>355</v>
      </c>
      <c r="B357" s="29" t="s">
        <v>407</v>
      </c>
      <c r="C357" s="229" t="s">
        <v>407</v>
      </c>
      <c r="D357" s="30">
        <v>0</v>
      </c>
      <c r="E357" s="30">
        <v>0</v>
      </c>
      <c r="F357" s="229"/>
      <c r="G357" s="31" t="s">
        <v>408</v>
      </c>
      <c r="H357" s="228" t="s">
        <v>1179</v>
      </c>
      <c r="I357" s="229" t="s">
        <v>469</v>
      </c>
      <c r="J357" s="229"/>
      <c r="K357" s="229"/>
      <c r="L357" s="230" t="s">
        <v>1319</v>
      </c>
      <c r="M357" s="35"/>
      <c r="N357" s="35">
        <v>4602174</v>
      </c>
      <c r="O357" s="37"/>
      <c r="P357" s="37" t="s">
        <v>415</v>
      </c>
      <c r="Q357" s="35">
        <v>4602174</v>
      </c>
      <c r="R357" s="38">
        <v>0</v>
      </c>
      <c r="S357" s="39" t="s">
        <v>34</v>
      </c>
      <c r="T357" s="40"/>
      <c r="U357" s="40"/>
      <c r="V357" s="231"/>
      <c r="W357" s="232"/>
      <c r="X357" s="232"/>
      <c r="Y357" s="232"/>
      <c r="Z357" s="232"/>
      <c r="AA357" s="232"/>
      <c r="AB357" s="42"/>
      <c r="AC357" s="232"/>
      <c r="AD357" s="232"/>
      <c r="AE357" s="232"/>
      <c r="AF357" s="232"/>
      <c r="AG357" s="38">
        <v>0</v>
      </c>
    </row>
    <row r="358" spans="1:33" s="45" customFormat="1" x14ac:dyDescent="0.25">
      <c r="A358" s="29">
        <v>356</v>
      </c>
      <c r="B358" s="29" t="s">
        <v>407</v>
      </c>
      <c r="C358" s="229" t="s">
        <v>407</v>
      </c>
      <c r="D358" s="30">
        <v>0</v>
      </c>
      <c r="E358" s="30">
        <v>0</v>
      </c>
      <c r="F358" s="229"/>
      <c r="G358" s="31" t="s">
        <v>408</v>
      </c>
      <c r="H358" s="228" t="s">
        <v>1179</v>
      </c>
      <c r="I358" s="229" t="s">
        <v>469</v>
      </c>
      <c r="J358" s="229"/>
      <c r="K358" s="229"/>
      <c r="L358" s="230" t="s">
        <v>1320</v>
      </c>
      <c r="M358" s="35"/>
      <c r="N358" s="35" t="s">
        <v>1321</v>
      </c>
      <c r="O358" s="37"/>
      <c r="P358" s="37" t="s">
        <v>415</v>
      </c>
      <c r="Q358" s="35" t="s">
        <v>1321</v>
      </c>
      <c r="R358" s="38">
        <v>0</v>
      </c>
      <c r="S358" s="39" t="s">
        <v>34</v>
      </c>
      <c r="T358" s="40"/>
      <c r="U358" s="40"/>
      <c r="V358" s="231"/>
      <c r="W358" s="232"/>
      <c r="X358" s="232"/>
      <c r="Y358" s="232"/>
      <c r="Z358" s="232"/>
      <c r="AA358" s="232"/>
      <c r="AB358" s="42"/>
      <c r="AC358" s="232"/>
      <c r="AD358" s="232"/>
      <c r="AE358" s="232"/>
      <c r="AF358" s="232"/>
      <c r="AG358" s="38">
        <v>0</v>
      </c>
    </row>
    <row r="359" spans="1:33" s="45" customFormat="1" x14ac:dyDescent="0.25">
      <c r="A359" s="29">
        <v>357</v>
      </c>
      <c r="B359" s="29" t="s">
        <v>407</v>
      </c>
      <c r="C359" s="229" t="s">
        <v>407</v>
      </c>
      <c r="D359" s="30">
        <v>0</v>
      </c>
      <c r="E359" s="30">
        <v>0</v>
      </c>
      <c r="F359" s="229"/>
      <c r="G359" s="31" t="s">
        <v>408</v>
      </c>
      <c r="H359" s="228" t="s">
        <v>1179</v>
      </c>
      <c r="I359" s="229" t="s">
        <v>469</v>
      </c>
      <c r="J359" s="229"/>
      <c r="K359" s="229"/>
      <c r="L359" s="230" t="s">
        <v>1322</v>
      </c>
      <c r="M359" s="35"/>
      <c r="N359" s="35" t="s">
        <v>1323</v>
      </c>
      <c r="O359" s="37"/>
      <c r="P359" s="37" t="s">
        <v>415</v>
      </c>
      <c r="Q359" s="35" t="s">
        <v>1323</v>
      </c>
      <c r="R359" s="38">
        <v>0</v>
      </c>
      <c r="S359" s="39" t="s">
        <v>34</v>
      </c>
      <c r="T359" s="40"/>
      <c r="U359" s="40"/>
      <c r="V359" s="231"/>
      <c r="W359" s="232"/>
      <c r="X359" s="232"/>
      <c r="Y359" s="232"/>
      <c r="Z359" s="232"/>
      <c r="AA359" s="232"/>
      <c r="AB359" s="42"/>
      <c r="AC359" s="232"/>
      <c r="AD359" s="232"/>
      <c r="AE359" s="232"/>
      <c r="AF359" s="232"/>
      <c r="AG359" s="38">
        <v>0</v>
      </c>
    </row>
    <row r="360" spans="1:33" s="45" customFormat="1" x14ac:dyDescent="0.25">
      <c r="A360" s="29">
        <v>358</v>
      </c>
      <c r="B360" s="29" t="s">
        <v>407</v>
      </c>
      <c r="C360" s="229" t="s">
        <v>407</v>
      </c>
      <c r="D360" s="30">
        <v>0</v>
      </c>
      <c r="E360" s="30">
        <v>0</v>
      </c>
      <c r="F360" s="229"/>
      <c r="G360" s="31" t="s">
        <v>408</v>
      </c>
      <c r="H360" s="228" t="s">
        <v>1179</v>
      </c>
      <c r="I360" s="229" t="s">
        <v>469</v>
      </c>
      <c r="J360" s="229"/>
      <c r="K360" s="229"/>
      <c r="L360" s="230" t="s">
        <v>1324</v>
      </c>
      <c r="M360" s="35"/>
      <c r="N360" s="35" t="s">
        <v>1325</v>
      </c>
      <c r="O360" s="37"/>
      <c r="P360" s="37" t="s">
        <v>415</v>
      </c>
      <c r="Q360" s="35" t="s">
        <v>1325</v>
      </c>
      <c r="R360" s="38">
        <v>0</v>
      </c>
      <c r="S360" s="39" t="s">
        <v>34</v>
      </c>
      <c r="T360" s="40"/>
      <c r="U360" s="40"/>
      <c r="V360" s="231"/>
      <c r="W360" s="232"/>
      <c r="X360" s="232"/>
      <c r="Y360" s="232"/>
      <c r="Z360" s="232"/>
      <c r="AA360" s="232"/>
      <c r="AB360" s="42"/>
      <c r="AC360" s="232"/>
      <c r="AD360" s="232"/>
      <c r="AE360" s="232"/>
      <c r="AF360" s="232"/>
      <c r="AG360" s="38">
        <v>0</v>
      </c>
    </row>
    <row r="361" spans="1:33" x14ac:dyDescent="0.25">
      <c r="A361" s="148">
        <v>359</v>
      </c>
      <c r="B361" s="148" t="s">
        <v>407</v>
      </c>
      <c r="C361" s="161" t="s">
        <v>407</v>
      </c>
      <c r="D361" s="161">
        <v>1</v>
      </c>
      <c r="E361" s="161">
        <v>1</v>
      </c>
      <c r="F361" s="161" t="s">
        <v>430</v>
      </c>
      <c r="G361" s="149" t="s">
        <v>1175</v>
      </c>
      <c r="H361" s="162" t="s">
        <v>1179</v>
      </c>
      <c r="I361" s="161" t="s">
        <v>410</v>
      </c>
      <c r="J361" s="161"/>
      <c r="K361" s="161"/>
      <c r="L361" s="163" t="s">
        <v>1326</v>
      </c>
      <c r="M361" s="153"/>
      <c r="N361" s="153" t="s">
        <v>1327</v>
      </c>
      <c r="O361" s="154" t="s">
        <v>886</v>
      </c>
      <c r="P361" s="154" t="s">
        <v>415</v>
      </c>
      <c r="Q361" s="153" t="s">
        <v>1327</v>
      </c>
      <c r="R361" s="164">
        <v>1</v>
      </c>
      <c r="S361" s="155" t="s">
        <v>34</v>
      </c>
      <c r="T361" s="156" t="s">
        <v>410</v>
      </c>
      <c r="U361" s="156"/>
      <c r="V361" s="165"/>
      <c r="W361" s="166"/>
      <c r="X361" s="166"/>
      <c r="Y361" s="166"/>
      <c r="Z361" s="166"/>
      <c r="AA361" s="166"/>
      <c r="AB361" s="167"/>
      <c r="AC361" s="166"/>
      <c r="AD361" s="166"/>
      <c r="AE361" s="166"/>
      <c r="AF361" s="166"/>
      <c r="AG361" s="164">
        <v>1</v>
      </c>
    </row>
    <row r="362" spans="1:33" x14ac:dyDescent="0.25">
      <c r="A362" s="148">
        <v>360</v>
      </c>
      <c r="B362" s="148" t="s">
        <v>407</v>
      </c>
      <c r="C362" s="161" t="s">
        <v>407</v>
      </c>
      <c r="D362" s="161">
        <v>1</v>
      </c>
      <c r="E362" s="161">
        <v>1</v>
      </c>
      <c r="F362" s="161" t="s">
        <v>430</v>
      </c>
      <c r="G362" s="149" t="s">
        <v>1175</v>
      </c>
      <c r="H362" s="162" t="s">
        <v>1179</v>
      </c>
      <c r="I362" s="161" t="s">
        <v>410</v>
      </c>
      <c r="J362" s="161"/>
      <c r="K362" s="161"/>
      <c r="L362" s="163" t="s">
        <v>1328</v>
      </c>
      <c r="M362" s="153"/>
      <c r="N362" s="153" t="s">
        <v>1329</v>
      </c>
      <c r="O362" s="154" t="s">
        <v>886</v>
      </c>
      <c r="P362" s="154" t="s">
        <v>415</v>
      </c>
      <c r="Q362" s="153" t="s">
        <v>1329</v>
      </c>
      <c r="R362" s="164">
        <v>1</v>
      </c>
      <c r="S362" s="155" t="s">
        <v>34</v>
      </c>
      <c r="T362" s="156" t="s">
        <v>469</v>
      </c>
      <c r="U362" s="156" t="s">
        <v>470</v>
      </c>
      <c r="V362" s="165"/>
      <c r="W362" s="166"/>
      <c r="X362" s="166"/>
      <c r="Y362" s="166"/>
      <c r="Z362" s="166"/>
      <c r="AA362" s="166"/>
      <c r="AB362" s="167"/>
      <c r="AC362" s="166"/>
      <c r="AD362" s="166"/>
      <c r="AE362" s="166"/>
      <c r="AF362" s="166"/>
      <c r="AG362" s="164">
        <v>1</v>
      </c>
    </row>
    <row r="363" spans="1:33" x14ac:dyDescent="0.25">
      <c r="A363" s="11"/>
      <c r="B363" s="11"/>
      <c r="C363" s="17"/>
      <c r="D363" s="242"/>
      <c r="E363" s="242"/>
      <c r="F363" s="242"/>
      <c r="G363" s="168"/>
      <c r="H363" s="243"/>
      <c r="I363" s="242"/>
      <c r="J363" s="242"/>
      <c r="K363" s="242"/>
      <c r="L363" s="244"/>
      <c r="M363" s="245"/>
      <c r="N363" s="245"/>
      <c r="O363" s="246"/>
      <c r="P363" s="246"/>
      <c r="Q363" s="245"/>
      <c r="R363" s="247"/>
      <c r="S363" s="248"/>
      <c r="T363" s="249"/>
      <c r="U363" s="249"/>
      <c r="V363" s="250"/>
      <c r="W363" s="251"/>
      <c r="X363" s="251"/>
      <c r="Y363" s="251"/>
      <c r="Z363" s="251"/>
      <c r="AA363" s="251"/>
      <c r="AB363" s="252"/>
      <c r="AC363" s="251"/>
      <c r="AD363" s="251"/>
      <c r="AE363" s="251"/>
      <c r="AF363" s="251"/>
      <c r="AG363" s="247"/>
    </row>
    <row r="364" spans="1:33" x14ac:dyDescent="0.25">
      <c r="A364" s="253"/>
    </row>
  </sheetData>
  <conditionalFormatting sqref="AI4:AI16 AI19:AI322">
    <cfRule type="cellIs" dxfId="3" priority="3" operator="lessThan">
      <formula>0</formula>
    </cfRule>
    <cfRule type="cellIs" dxfId="2" priority="4" operator="greaterThan">
      <formula>0.5</formula>
    </cfRule>
  </conditionalFormatting>
  <conditionalFormatting sqref="AI17:AI18">
    <cfRule type="cellIs" dxfId="1" priority="1" operator="lessThan">
      <formula>0</formula>
    </cfRule>
    <cfRule type="cellIs" dxfId="0" priority="2" operator="greaterThan">
      <formula>0.5</formula>
    </cfRule>
  </conditionalFormatting>
  <dataValidations count="1">
    <dataValidation type="list" allowBlank="1" showInputMessage="1" showErrorMessage="1" sqref="M2">
      <formula1>#REF!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fd456807-6760-4d1a-acbe-8bffdffcd3ac" ContentTypeId="0x01" PreviousValue="false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925DDD9CA8E5445ACF9ECA07CF0062D" ma:contentTypeVersion="2" ma:contentTypeDescription="Create a new document." ma:contentTypeScope="" ma:versionID="41f1b58f4ebd1adb270440c5855c297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4658e295a4cc95431b272febbd074bb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537FEB3-376F-4EB8-B269-877882D7DAD9}">
  <ds:schemaRefs>
    <ds:schemaRef ds:uri="Microsoft.SharePoint.Taxonomy.ContentTypeSync"/>
  </ds:schemaRefs>
</ds:datastoreItem>
</file>

<file path=customXml/itemProps2.xml><?xml version="1.0" encoding="utf-8"?>
<ds:datastoreItem xmlns:ds="http://schemas.openxmlformats.org/officeDocument/2006/customXml" ds:itemID="{72CAE551-B1EF-40F6-A0D3-743388044B5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EDA6847-3574-424B-9ADD-D950443D3F8E}">
  <ds:schemaRefs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www.w3.org/XML/1998/namespace"/>
  </ds:schemaRefs>
</ds:datastoreItem>
</file>

<file path=customXml/itemProps4.xml><?xml version="1.0" encoding="utf-8"?>
<ds:datastoreItem xmlns:ds="http://schemas.openxmlformats.org/officeDocument/2006/customXml" ds:itemID="{C924572D-2706-468E-B001-56079C288B5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7</vt:i4>
      </vt:variant>
    </vt:vector>
  </HeadingPairs>
  <TitlesOfParts>
    <vt:vector size="7" baseType="lpstr">
      <vt:lpstr>Appendix A_MDS HBTX_Test-Rig</vt:lpstr>
      <vt:lpstr>Appendix A_MDSO10x_DCIS_UTSGT</vt:lpstr>
      <vt:lpstr>Appendix A_MDS OLAX_DCIS_T2</vt:lpstr>
      <vt:lpstr>Appendix A_ OLPX_DACCC_T2</vt:lpstr>
      <vt:lpstr>Appendix A_OTAX_DCIS_T1</vt:lpstr>
      <vt:lpstr>Appendix A_OTPX_DACCC_T1</vt:lpstr>
      <vt:lpstr>Appendix A_POAX_Training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XML Publisher Template</dc:title>
  <dc:creator>Harrison Stuart</dc:creator>
  <cp:lastModifiedBy>Windows User</cp:lastModifiedBy>
  <cp:lastPrinted>2021-04-22T08:13:06Z</cp:lastPrinted>
  <dcterms:created xsi:type="dcterms:W3CDTF">2021-04-01T12:41:19Z</dcterms:created>
  <dcterms:modified xsi:type="dcterms:W3CDTF">2021-06-29T07:44:22Z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0x0101004925DDD9CA8E5445ACF9ECA07CF0062D</vt:lpwstr>
  </property>
  <property fmtid="{D5CDD505-2E9C-101B-9397-08002B2CF9AE}" pid="3" name="IsMyDocuments">
    <vt:bool>true</vt:bool>
  </property>
</Properties>
</file>